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zdagl\Desktop\"/>
    </mc:Choice>
  </mc:AlternateContent>
  <xr:revisionPtr revIDLastSave="0" documentId="8_{82286143-6B99-41A3-B686-38B531AE8A7F}" xr6:coauthVersionLast="37" xr6:coauthVersionMax="37" xr10:uidLastSave="{00000000-0000-0000-0000-000000000000}"/>
  <bookViews>
    <workbookView xWindow="75" yWindow="75" windowWidth="15480" windowHeight="9120"/>
  </bookViews>
  <sheets>
    <sheet name="írószer" sheetId="1" r:id="rId1"/>
  </sheets>
  <calcPr calcId="162913"/>
</workbook>
</file>

<file path=xl/calcChain.xml><?xml version="1.0" encoding="utf-8"?>
<calcChain xmlns="http://schemas.openxmlformats.org/spreadsheetml/2006/main">
  <c r="AV21" i="1" l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0" i="1"/>
  <c r="A4" i="1"/>
  <c r="B4" i="1"/>
  <c r="A5" i="1"/>
  <c r="B5" i="1"/>
  <c r="C5" i="1"/>
  <c r="A6" i="1"/>
  <c r="B6" i="1"/>
  <c r="AV6" i="1"/>
  <c r="A7" i="1"/>
  <c r="B7" i="1"/>
  <c r="C7" i="1"/>
  <c r="AV7" i="1"/>
  <c r="A8" i="1"/>
  <c r="B8" i="1"/>
  <c r="C8" i="1"/>
  <c r="AV8" i="1"/>
  <c r="A9" i="1"/>
  <c r="B9" i="1"/>
  <c r="C9" i="1"/>
  <c r="AV9" i="1"/>
  <c r="A10" i="1"/>
  <c r="B10" i="1"/>
  <c r="C10" i="1"/>
  <c r="AV10" i="1"/>
  <c r="A11" i="1"/>
  <c r="B11" i="1"/>
  <c r="C11" i="1"/>
  <c r="AV11" i="1"/>
  <c r="A12" i="1"/>
  <c r="B12" i="1"/>
  <c r="C12" i="1"/>
  <c r="AV12" i="1"/>
  <c r="A13" i="1"/>
  <c r="B13" i="1"/>
  <c r="C13" i="1"/>
  <c r="AV13" i="1"/>
  <c r="A14" i="1"/>
  <c r="B14" i="1"/>
  <c r="C14" i="1"/>
  <c r="AV14" i="1"/>
  <c r="A15" i="1"/>
  <c r="B15" i="1"/>
  <c r="C15" i="1"/>
  <c r="AV15" i="1"/>
  <c r="A16" i="1"/>
  <c r="B16" i="1"/>
  <c r="C16" i="1"/>
  <c r="AV16" i="1"/>
  <c r="A17" i="1"/>
  <c r="B17" i="1"/>
  <c r="C17" i="1"/>
  <c r="AV17" i="1"/>
  <c r="A18" i="1"/>
  <c r="B18" i="1"/>
  <c r="C18" i="1"/>
  <c r="AV18" i="1"/>
  <c r="A19" i="1"/>
  <c r="B19" i="1"/>
  <c r="C19" i="1"/>
  <c r="AV19" i="1"/>
  <c r="B20" i="1"/>
  <c r="B25" i="1"/>
  <c r="B26" i="1"/>
  <c r="B27" i="1"/>
  <c r="B28" i="1"/>
  <c r="C30" i="1"/>
  <c r="C32" i="1"/>
  <c r="C33" i="1"/>
  <c r="C34" i="1"/>
  <c r="C37" i="1"/>
  <c r="C38" i="1"/>
  <c r="B39" i="1"/>
  <c r="B40" i="1"/>
  <c r="B41" i="1"/>
  <c r="B42" i="1"/>
  <c r="B43" i="1"/>
  <c r="B44" i="1"/>
  <c r="C44" i="1"/>
  <c r="B45" i="1"/>
  <c r="C45" i="1"/>
  <c r="B46" i="1"/>
  <c r="B47" i="1"/>
  <c r="B48" i="1"/>
  <c r="B49" i="1"/>
  <c r="C49" i="1"/>
  <c r="B50" i="1"/>
  <c r="C50" i="1"/>
  <c r="B51" i="1"/>
  <c r="B54" i="1"/>
  <c r="C54" i="1"/>
  <c r="C55" i="1"/>
  <c r="B56" i="1"/>
  <c r="C56" i="1"/>
  <c r="B57" i="1"/>
  <c r="C57" i="1"/>
  <c r="B58" i="1"/>
  <c r="C58" i="1"/>
  <c r="B59" i="1"/>
  <c r="C59" i="1"/>
  <c r="B60" i="1"/>
  <c r="C60" i="1"/>
  <c r="B61" i="1"/>
  <c r="C66" i="1"/>
  <c r="C67" i="1"/>
  <c r="C68" i="1"/>
  <c r="C69" i="1"/>
  <c r="C70" i="1"/>
  <c r="C71" i="1"/>
  <c r="C72" i="1"/>
  <c r="C73" i="1"/>
  <c r="C74" i="1"/>
  <c r="C76" i="1"/>
  <c r="C77" i="1"/>
  <c r="C78" i="1"/>
  <c r="C79" i="1"/>
  <c r="C80" i="1"/>
  <c r="C84" i="1"/>
  <c r="C91" i="1"/>
  <c r="C92" i="1"/>
  <c r="C93" i="1"/>
  <c r="C94" i="1"/>
  <c r="C95" i="1"/>
  <c r="B97" i="1"/>
  <c r="C97" i="1"/>
  <c r="B98" i="1"/>
  <c r="C98" i="1"/>
  <c r="B99" i="1"/>
  <c r="C99" i="1"/>
  <c r="B101" i="1"/>
  <c r="C101" i="1"/>
  <c r="B102" i="1"/>
  <c r="C102" i="1"/>
  <c r="C104" i="1"/>
  <c r="C105" i="1"/>
  <c r="B114" i="1"/>
  <c r="C114" i="1"/>
  <c r="B115" i="1"/>
  <c r="C115" i="1"/>
  <c r="B116" i="1"/>
  <c r="C116" i="1"/>
  <c r="B117" i="1"/>
  <c r="C117" i="1"/>
  <c r="B118" i="1"/>
  <c r="C118" i="1"/>
  <c r="B120" i="1"/>
  <c r="C120" i="1"/>
  <c r="B121" i="1"/>
  <c r="C121" i="1"/>
  <c r="B123" i="1"/>
  <c r="C123" i="1"/>
  <c r="B124" i="1"/>
  <c r="B125" i="1"/>
  <c r="C125" i="1"/>
  <c r="B126" i="1"/>
  <c r="C127" i="1"/>
  <c r="C128" i="1"/>
  <c r="B129" i="1"/>
  <c r="B130" i="1"/>
  <c r="C130" i="1"/>
  <c r="B131" i="1"/>
  <c r="C131" i="1"/>
  <c r="B132" i="1"/>
  <c r="B133" i="1"/>
  <c r="B134" i="1"/>
  <c r="C134" i="1"/>
  <c r="B135" i="1"/>
  <c r="B136" i="1"/>
  <c r="B137" i="1"/>
  <c r="C137" i="1"/>
  <c r="B138" i="1"/>
  <c r="C138" i="1"/>
  <c r="B139" i="1"/>
  <c r="C139" i="1"/>
  <c r="B146" i="1"/>
  <c r="C155" i="1"/>
  <c r="C161" i="1"/>
  <c r="B177" i="1"/>
  <c r="C177" i="1"/>
  <c r="C179" i="1"/>
  <c r="C180" i="1"/>
  <c r="C181" i="1"/>
  <c r="C182" i="1"/>
  <c r="C183" i="1"/>
  <c r="B199" i="1"/>
  <c r="B200" i="1"/>
  <c r="B201" i="1"/>
  <c r="C201" i="1"/>
  <c r="B202" i="1"/>
  <c r="C202" i="1"/>
  <c r="B203" i="1"/>
  <c r="B204" i="1"/>
  <c r="B205" i="1"/>
  <c r="C205" i="1"/>
  <c r="B206" i="1"/>
  <c r="C206" i="1"/>
  <c r="C208" i="1"/>
  <c r="C209" i="1"/>
  <c r="B210" i="1"/>
  <c r="C210" i="1"/>
  <c r="B211" i="1"/>
  <c r="C211" i="1"/>
  <c r="B212" i="1"/>
  <c r="C212" i="1"/>
  <c r="B213" i="1"/>
  <c r="C214" i="1"/>
  <c r="B215" i="1"/>
  <c r="B216" i="1"/>
  <c r="C216" i="1"/>
  <c r="B217" i="1"/>
  <c r="C217" i="1"/>
  <c r="C218" i="1"/>
  <c r="C219" i="1"/>
  <c r="C220" i="1"/>
  <c r="C223" i="1"/>
  <c r="C224" i="1"/>
  <c r="C229" i="1"/>
  <c r="C230" i="1"/>
  <c r="C231" i="1"/>
  <c r="C233" i="1"/>
  <c r="C234" i="1"/>
  <c r="C253" i="1"/>
  <c r="C254" i="1"/>
  <c r="C255" i="1"/>
</calcChain>
</file>

<file path=xl/sharedStrings.xml><?xml version="1.0" encoding="utf-8"?>
<sst xmlns="http://schemas.openxmlformats.org/spreadsheetml/2006/main" count="619" uniqueCount="300">
  <si>
    <t>sorszám</t>
  </si>
  <si>
    <t>1.</t>
  </si>
  <si>
    <t>DARAB MATRICÁS (NEM FOLYAMATOS !)</t>
  </si>
  <si>
    <t>tek.</t>
  </si>
  <si>
    <t>2.</t>
  </si>
  <si>
    <t>ASZTALI KÖNYÖKLŐ NAPTÁR</t>
  </si>
  <si>
    <t>2019 ÉVRE !</t>
  </si>
  <si>
    <t>db</t>
  </si>
  <si>
    <t>3.</t>
  </si>
  <si>
    <t>ASZTALI NAPTÁR 2019 ÉVRE !</t>
  </si>
  <si>
    <t>FEKFŐ HELYZETŰ (KB. 30X15CM-ES)</t>
  </si>
  <si>
    <t>4.</t>
  </si>
  <si>
    <t>ASZTALI NAPTÁRHÁT</t>
  </si>
  <si>
    <t>FEKFŐ HELYZETŰ (KB. 30X15CM-ES) naptárhoz</t>
  </si>
  <si>
    <t>5.</t>
  </si>
  <si>
    <t>BÉLYEGZŐPÁRNA FESTÉK</t>
  </si>
  <si>
    <t>FEKETE</t>
  </si>
  <si>
    <t>6.</t>
  </si>
  <si>
    <t>KÉK</t>
  </si>
  <si>
    <t>7.</t>
  </si>
  <si>
    <t>15 MM-ES (12db/dob.)</t>
  </si>
  <si>
    <t>dob.</t>
  </si>
  <si>
    <t>8.</t>
  </si>
  <si>
    <t>19 MM-ES (12db/dob.)</t>
  </si>
  <si>
    <t>9.</t>
  </si>
  <si>
    <t>25 MM-ES (12db/dob.)</t>
  </si>
  <si>
    <t>10.</t>
  </si>
  <si>
    <t>32 MM-ES (12db/dob.)</t>
  </si>
  <si>
    <t>11.</t>
  </si>
  <si>
    <t>CERUZABETÉT (PIXIRON) HB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</si>
  <si>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</si>
  <si>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</si>
  <si>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</si>
  <si>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</si>
  <si>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</si>
  <si>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</si>
  <si>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</si>
  <si>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</si>
  <si>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</si>
  <si>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41 MM-ES (12db/dob.)</t>
  </si>
  <si>
    <t>51 MM-ES (12db/dob.)</t>
  </si>
  <si>
    <t>TC4 / FEHÉR SZÍNŰ</t>
  </si>
  <si>
    <t>LC5 / FEHÉR SZÍNŰ</t>
  </si>
  <si>
    <t>LC6 / FEHÉR SZÍNŰ</t>
  </si>
  <si>
    <t>RW</t>
  </si>
  <si>
    <t>BORÍTÉK (ÖNTAPADÓS) SZILIKONOS</t>
  </si>
  <si>
    <t>TB4 /TALPAS</t>
  </si>
  <si>
    <t>CD-R LEMEZ (MŰANYAG VÉKONY TOKOS)</t>
  </si>
  <si>
    <t xml:space="preserve">700MB  (VERBATIM, TDK) </t>
  </si>
  <si>
    <t>21.</t>
  </si>
  <si>
    <t>22.</t>
  </si>
  <si>
    <t>CERUZAHEGYEZŐ (ASZTALI-KÉZI TEKERŐS)</t>
  </si>
  <si>
    <t>23.</t>
  </si>
  <si>
    <t>DÁTUMBÉLYEGZŐ (TRODAT PRINTY 4810)</t>
  </si>
  <si>
    <t>KISS MÉRETŰ</t>
  </si>
  <si>
    <t>24.</t>
  </si>
  <si>
    <r>
      <t xml:space="preserve">DOSSZIÉ (MŰANYAG HÁTLAPOS) </t>
    </r>
    <r>
      <rPr>
        <sz val="10"/>
        <color indexed="10"/>
        <rFont val="Arial CE"/>
        <family val="1"/>
        <charset val="238"/>
      </rPr>
      <t>TOVÁBB FŰZŐS !</t>
    </r>
  </si>
  <si>
    <t>FEHÉR SZÍNŰ HÁTLAPPAL</t>
  </si>
  <si>
    <t>25.</t>
  </si>
  <si>
    <t>PIROS SZÍNŰ HÁTLAPPAL</t>
  </si>
  <si>
    <t>26.</t>
  </si>
  <si>
    <t>SÖTÉTKÉK SZÍNŰ HÁTLAPPAL</t>
  </si>
  <si>
    <t>27.</t>
  </si>
  <si>
    <t>ZÖLD SZÍNŰ HÁTLAPPAL</t>
  </si>
  <si>
    <t>28.</t>
  </si>
  <si>
    <t>29.</t>
  </si>
  <si>
    <t>30.</t>
  </si>
  <si>
    <t>DVD-R LEMEZ (MŰANYAG VÉKONY TOKOS)</t>
  </si>
  <si>
    <t>4,7GB (VERBATIM, TDK)</t>
  </si>
  <si>
    <t>31.</t>
  </si>
  <si>
    <t>ELŐLAP (IRATSPIRÁLOZÁSHOZ)</t>
  </si>
  <si>
    <t>A/4 ÁTLÁTSZÓ</t>
  </si>
  <si>
    <t>ív</t>
  </si>
  <si>
    <t>32.</t>
  </si>
  <si>
    <t>ETIKETT CIMKE A/5</t>
  </si>
  <si>
    <t>33.</t>
  </si>
  <si>
    <t>ETIKETT CIMKE A/6</t>
  </si>
  <si>
    <t>34.</t>
  </si>
  <si>
    <t>ETIKETT CIMKE A/7</t>
  </si>
  <si>
    <t>35.</t>
  </si>
  <si>
    <t>ETIKETT CIMKE A/8</t>
  </si>
  <si>
    <t>36.</t>
  </si>
  <si>
    <t>ETIKETT CIMKE A/9</t>
  </si>
  <si>
    <t>37.</t>
  </si>
  <si>
    <t>ETIKETT CIMKE A/10</t>
  </si>
  <si>
    <t>38.</t>
  </si>
  <si>
    <t>ETIKETT CIMKE A/11</t>
  </si>
  <si>
    <t>39.</t>
  </si>
  <si>
    <t>ETIKETT CIMKE A/12</t>
  </si>
  <si>
    <t>HÁTLAP IRATSPIRÁLOZÁSHOZ</t>
  </si>
  <si>
    <t>A/4 FEHÉR</t>
  </si>
  <si>
    <t>ETIKETT CIMKE A/4</t>
  </si>
  <si>
    <t>99X38 MM</t>
  </si>
  <si>
    <t>A/4</t>
  </si>
  <si>
    <t>cso.</t>
  </si>
  <si>
    <t>40.</t>
  </si>
  <si>
    <t>41.</t>
  </si>
  <si>
    <t>42.</t>
  </si>
  <si>
    <t>FÜZET (BEÍRÓ) VONALAS 200 LAPOS - PVC FEDELŰ</t>
  </si>
  <si>
    <t>43.</t>
  </si>
  <si>
    <t>FÜZET (FRANCIA KOCKÁS)</t>
  </si>
  <si>
    <t>44.</t>
  </si>
  <si>
    <t>45.</t>
  </si>
  <si>
    <t>A/5</t>
  </si>
  <si>
    <t>46.</t>
  </si>
  <si>
    <t>FÜZET (SPIRÁL) KOCKÁS</t>
  </si>
  <si>
    <t>47.</t>
  </si>
  <si>
    <t>FÜZET (SPIRÁL) VONALAS</t>
  </si>
  <si>
    <t>A/4 (SPIRÁLOZÓHOZ)</t>
  </si>
  <si>
    <t>48.</t>
  </si>
  <si>
    <t>49.</t>
  </si>
  <si>
    <t>50.</t>
  </si>
  <si>
    <t>51.</t>
  </si>
  <si>
    <t>GÉMKAPOCS TARTÓ (NAGY MÉRETŰ)</t>
  </si>
  <si>
    <t>MÁGNESES</t>
  </si>
  <si>
    <t>52.</t>
  </si>
  <si>
    <t>GENOTHERMA (2 OLDALON FELNYÍLÓ) A/4</t>
  </si>
  <si>
    <t>LEFŰZHETŐ(VASTAG-ÁTLÁTSZÓ)</t>
  </si>
  <si>
    <t>53.</t>
  </si>
  <si>
    <t>54.</t>
  </si>
  <si>
    <t>GENOTHERMA (LEFŰZHETŐS) VÍZTISZTA !</t>
  </si>
  <si>
    <t>55.</t>
  </si>
  <si>
    <t>56.</t>
  </si>
  <si>
    <t>57.</t>
  </si>
  <si>
    <t>GOLYÓSTOLL  BETÉT(SOLIDLY) KÉK</t>
  </si>
  <si>
    <t>X18</t>
  </si>
  <si>
    <t>58.</t>
  </si>
  <si>
    <t>GOLYÓSTOLL (4 SZÍNŰ) FÉMHÁZAS</t>
  </si>
  <si>
    <t>KLASSZIKUS  - ÉRINTŐ VÉGŰ !</t>
  </si>
  <si>
    <t>59.</t>
  </si>
  <si>
    <t>KÉK SZÍNŰ</t>
  </si>
  <si>
    <t>60.</t>
  </si>
  <si>
    <t xml:space="preserve">GOLYÓSTOLL (SIGNETTA) </t>
  </si>
  <si>
    <t>61.</t>
  </si>
  <si>
    <t>KÉK SZÍNŰ BETÉTTEL</t>
  </si>
  <si>
    <t>62.</t>
  </si>
  <si>
    <t>PIROS SZÍNŰ BETÉTTEL</t>
  </si>
  <si>
    <t>63.</t>
  </si>
  <si>
    <t>64.</t>
  </si>
  <si>
    <t xml:space="preserve">GOLYÓSTOLL (SOLIDLY) </t>
  </si>
  <si>
    <t>65.</t>
  </si>
  <si>
    <t>66.</t>
  </si>
  <si>
    <t>67.</t>
  </si>
  <si>
    <r>
      <t xml:space="preserve">GOLYÓSTOLL (ZEBRA F-301)" </t>
    </r>
    <r>
      <rPr>
        <sz val="10"/>
        <color indexed="10"/>
        <rFont val="Arial CE"/>
        <family val="1"/>
        <charset val="238"/>
      </rPr>
      <t>EREDETI ZEBRA !</t>
    </r>
  </si>
  <si>
    <t>68.</t>
  </si>
  <si>
    <t>GOLYÓSTOLL (ZEBRA SUPER FINE H8000)</t>
  </si>
  <si>
    <t>69.</t>
  </si>
  <si>
    <t>70.</t>
  </si>
  <si>
    <t>GOLYÓSTOLL (ZSELÉS) PENTEL ENERGEL</t>
  </si>
  <si>
    <t xml:space="preserve">0,7 MM-ES KÉK SZÍNŰ BETÉTTEL </t>
  </si>
  <si>
    <t>71.</t>
  </si>
  <si>
    <t xml:space="preserve">0,7 MM-ES FEKETE SZÍNŰ BETÉTTEL </t>
  </si>
  <si>
    <t>IRATRENDEZŐ (ÉLVÉDŐS) HERLITZ</t>
  </si>
  <si>
    <t>72.</t>
  </si>
  <si>
    <t>GOLYÓSTOLL BETÉT (ZEBRA F301) RÚGÓS</t>
  </si>
  <si>
    <t xml:space="preserve">KÉK SZÍNŰ </t>
  </si>
  <si>
    <t>73.</t>
  </si>
  <si>
    <t>74.</t>
  </si>
  <si>
    <t>75.</t>
  </si>
  <si>
    <t>76.</t>
  </si>
  <si>
    <t>HIBAJAVÍTÓ ROLLER (FOROFFICE TIPUSÚ !)</t>
  </si>
  <si>
    <t>77.</t>
  </si>
  <si>
    <t>HIBAJAVÍTÓ TOLL (PENTEL)</t>
  </si>
  <si>
    <t>0,7,MM-ES</t>
  </si>
  <si>
    <t>78.</t>
  </si>
  <si>
    <t>IRATCSÍPTETŐ KAPOCS (MAGIC CLIPS) 50DB/DOBOZ</t>
  </si>
  <si>
    <t>6,4 MM-ES</t>
  </si>
  <si>
    <t>79.</t>
  </si>
  <si>
    <t>FEHÉR SZÍNŰ 5 CM-ES</t>
  </si>
  <si>
    <t>RAGASZTÓ SZALAG (CELLUX)+TÉPŐ</t>
  </si>
  <si>
    <t>80.</t>
  </si>
  <si>
    <t>FEHÉR SZÍNŰ 7, 5 CM-ES</t>
  </si>
  <si>
    <t>81.</t>
  </si>
  <si>
    <t>ZÖLD SZÍNŰ 5 CM-ES</t>
  </si>
  <si>
    <t>82.</t>
  </si>
  <si>
    <t>ZÖLD SZÍNŰ 7,5 CM-ES</t>
  </si>
  <si>
    <t>83.</t>
  </si>
  <si>
    <t>KÉK SZÍNŰ 7,5 CM-ES</t>
  </si>
  <si>
    <t>84.</t>
  </si>
  <si>
    <t>KÉK SZÍNŰ 5 CM-ES</t>
  </si>
  <si>
    <t xml:space="preserve">IRATRENDEZŐ (TOKOS) </t>
  </si>
  <si>
    <t>A/6</t>
  </si>
  <si>
    <t>A/7</t>
  </si>
  <si>
    <t>A/8</t>
  </si>
  <si>
    <t>85.</t>
  </si>
  <si>
    <t>86.</t>
  </si>
  <si>
    <t>SÁRGA SZÍNŰ 5 CM-ES</t>
  </si>
  <si>
    <t>87.</t>
  </si>
  <si>
    <t>A/4 - KÉK SZÍNŰ</t>
  </si>
  <si>
    <t>88.</t>
  </si>
  <si>
    <t>89.</t>
  </si>
  <si>
    <t>90.</t>
  </si>
  <si>
    <t>91.</t>
  </si>
  <si>
    <t>A/4 - NATUR</t>
  </si>
  <si>
    <t>92.</t>
  </si>
  <si>
    <t>93.</t>
  </si>
  <si>
    <t>IRATSPIRÁL (MŰANYAG)</t>
  </si>
  <si>
    <t>6MM-ES (FEHÉR)</t>
  </si>
  <si>
    <t>94.</t>
  </si>
  <si>
    <t>10MM-ES (FEHÉR)</t>
  </si>
  <si>
    <t>95.</t>
  </si>
  <si>
    <t>19MM-ES (FEHÉR)</t>
  </si>
  <si>
    <t>ROSTIRON (ALKOHOLOS) VASTAG</t>
  </si>
  <si>
    <t>KÖRHEGYŰ-ZÖLD</t>
  </si>
  <si>
    <t>MAPPA (VILLÁMZÁRAS) FEKETE SZÍNŰ</t>
  </si>
  <si>
    <t>96.</t>
  </si>
  <si>
    <t>KÖTÖZŐZSINEG</t>
  </si>
  <si>
    <t>97.</t>
  </si>
  <si>
    <t>LAPSZÉLJELÖLŐ  (MAG OFFICE) NYÍL FORMA</t>
  </si>
  <si>
    <t>5X25 DB-OS 12MMX45MM  ART N.5564005-62</t>
  </si>
  <si>
    <t>98.</t>
  </si>
  <si>
    <t>LAPSZÉLJELÖLŐ (PAPIRBÓL) POST IT</t>
  </si>
  <si>
    <t>20X50MM ( NEON SZÍNBEN!)</t>
  </si>
  <si>
    <t>99.</t>
  </si>
  <si>
    <t>LYUKASZTÓGÉP (SAX)</t>
  </si>
  <si>
    <t>JOBB MINŐSÉGŰ !</t>
  </si>
  <si>
    <t>100.</t>
  </si>
  <si>
    <t>101.</t>
  </si>
  <si>
    <t>A/4 FEKVŐ HELYZETŰ</t>
  </si>
  <si>
    <t>102.</t>
  </si>
  <si>
    <t>A/4 ÁLLÓ HELYZETŰ</t>
  </si>
  <si>
    <t>PAPÍRSZALVÉTA (FEHÉR SZÍNŰ)</t>
  </si>
  <si>
    <t>MINŐSÉGI !</t>
  </si>
  <si>
    <t>103.</t>
  </si>
  <si>
    <t xml:space="preserve">MŰANYAG, OLDALT PATENTOS TASAK </t>
  </si>
  <si>
    <t>A/4 / SZÍNES</t>
  </si>
  <si>
    <t>104.</t>
  </si>
  <si>
    <t>A/4 / FEHÉR SZÍNŰ</t>
  </si>
  <si>
    <t>105.</t>
  </si>
  <si>
    <t>A/4 / SZÜRKE SZÍNŰ</t>
  </si>
  <si>
    <t>106.</t>
  </si>
  <si>
    <t>PAPÍRVÁGÓ OLLÓ</t>
  </si>
  <si>
    <t>KÖZEPES MÉRETŰ</t>
  </si>
  <si>
    <t>107.</t>
  </si>
  <si>
    <t>108.</t>
  </si>
  <si>
    <t>RAGASZTÓ (PILLANATRAGASZTÓ)</t>
  </si>
  <si>
    <t>TÉPŐTÖMB (ONIX)ÖNTAPADÓS</t>
  </si>
  <si>
    <t>109.</t>
  </si>
  <si>
    <t>TÉPŐTÖMB (POST-IT) ÖNTAPADÓS</t>
  </si>
  <si>
    <t>TŰZŐGÉP</t>
  </si>
  <si>
    <t>110.</t>
  </si>
  <si>
    <t>STANDARD - JÓ MINŐSÉGŰ !</t>
  </si>
  <si>
    <t>111.</t>
  </si>
  <si>
    <t>112.</t>
  </si>
  <si>
    <t>STANLEY</t>
  </si>
  <si>
    <t>TŰZŐGÉP KAPOCS</t>
  </si>
  <si>
    <t>10-KICSI</t>
  </si>
  <si>
    <t>TŰZŐGÉP KAPOCS 1000 db /doboz</t>
  </si>
  <si>
    <t xml:space="preserve">LEPORELLÓS 240 MMX8"                </t>
  </si>
  <si>
    <t>113.</t>
  </si>
  <si>
    <t>NAGY TEKERCS 19MM-ES</t>
  </si>
  <si>
    <t>114.</t>
  </si>
  <si>
    <t>RAGASZTÓ SZALAG (HAVANNA) BARNA</t>
  </si>
  <si>
    <t>5CM SZÉLES</t>
  </si>
  <si>
    <t>115.</t>
  </si>
  <si>
    <t>ROSTIRON (ALKOHOLOS)</t>
  </si>
  <si>
    <t>EDDING 140S FEKETE</t>
  </si>
  <si>
    <t>EDDING 140S KÉK</t>
  </si>
  <si>
    <t>EDDING 140S PIROS</t>
  </si>
  <si>
    <t>KÖRHEGYŰ-FEKETE</t>
  </si>
  <si>
    <t>KÖRHEGYŰ-KÉK</t>
  </si>
  <si>
    <t>VÁGOTTHEGYŰ-KÉK</t>
  </si>
  <si>
    <t>VÁGOTTHEGYŰ-PIROS</t>
  </si>
  <si>
    <t>VÁGOTTHEGYŰ-FEKETE</t>
  </si>
  <si>
    <t>SZALAGOS IROMÁNYFEDÉL</t>
  </si>
  <si>
    <t>SZÖVEGKIEMELŐ (FABER CASTELL TEXTLINER)</t>
  </si>
  <si>
    <t>NARANCS</t>
  </si>
  <si>
    <t>SÁRGA</t>
  </si>
  <si>
    <t>RÓZSASZÍN</t>
  </si>
  <si>
    <t>ZÖLD</t>
  </si>
  <si>
    <t>TÉPŐTÖMB (FEHÉR)  KEMÉNY LAPKÁS !</t>
  </si>
  <si>
    <t>127X075 MM</t>
  </si>
  <si>
    <t>TÉRKÉPTŰ</t>
  </si>
  <si>
    <t>TŰZŐGÉP (KIS KAPCSOS) JÓ MINŐSÉGŰ !</t>
  </si>
  <si>
    <t>10-ES MÉRETŰ KAPCSOS</t>
  </si>
  <si>
    <t>TŰZŐGÉP (NORMÁL KAPCSOS) JÓ MINŐSÉGŰ !</t>
  </si>
  <si>
    <t>24/6-OS MÉRETŰ KAPCSOS</t>
  </si>
  <si>
    <t>10-ES MÉRETŰ-KICSI (MEMORIS-PRECIOUS !)</t>
  </si>
  <si>
    <t>24/6-NORMÁL (MEMORIS-PRECIOUS !)</t>
  </si>
  <si>
    <t>VONALZÓ (MŰANYAG)</t>
  </si>
  <si>
    <t>30 CM-ES (NEM ÁTLÁTSZÓ ANYAGBÓL !)</t>
  </si>
  <si>
    <t>ZSEBNOTESZ (SPIRÁLFŰZÉSES)</t>
  </si>
  <si>
    <t>SZÍNESCERUZA (JÓ MINŐSÉGŰ!)</t>
  </si>
  <si>
    <t>12 SZÍN/DOBOZ</t>
  </si>
  <si>
    <t>GOLYÓSTOLL ICO 70 (RETRO)</t>
  </si>
  <si>
    <t>FRANCIAKOCKÁS LAP</t>
  </si>
  <si>
    <t>IRATCSIPTETŐ (MAGIC CLIPS KAPOCSHOZ)</t>
  </si>
  <si>
    <t>6,4 MM-ES KAPOCSHOZ KELL HOGY JÓ LEGYEN !</t>
  </si>
  <si>
    <t>IRATARCHIVÁLÓ KONTÉNER</t>
  </si>
  <si>
    <t>A/4 IRATTARTÓKHOZ</t>
  </si>
  <si>
    <t>GENOTHERMA (LEFŰZHETŐS) VÍZTISZTA ! BLUERING MÁRKA</t>
  </si>
  <si>
    <t>A/4  XXL 90 MIC.   (BŐ A/4 MÉRET ! )</t>
  </si>
  <si>
    <t>A/4" 235X305 MM</t>
  </si>
  <si>
    <t>2018  2. féléves írószer árajánlat bekérő</t>
  </si>
  <si>
    <t>megnevezés</t>
  </si>
  <si>
    <t>méret/ egyéb megnevezés</t>
  </si>
  <si>
    <t>mennyiség</t>
  </si>
  <si>
    <t>egységár (Ft)</t>
  </si>
  <si>
    <t>érték (Ft)</t>
  </si>
  <si>
    <t>összesen:(Ft)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</si>
</sst>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color indexed="10"/>
      <name val="Arial CE"/>
      <family val="1"/>
      <charset val="238"/>
    </font>
    <font>
      <b/>
      <sz val="10"/>
      <color indexed="9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color indexed="10"/>
      <name val="Arial CE"/>
      <charset val="238"/>
    </font>
    <font>
      <b/>
      <sz val="8"/>
      <color indexed="60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1" xfId="0" applyFont="1" applyBorder="1"/>
    <xf numFmtId="0" fontId="5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4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/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7" fillId="3" borderId="1" xfId="0" applyFont="1" applyFill="1" applyBorder="1"/>
    <xf numFmtId="0" fontId="13" fillId="3" borderId="1" xfId="0" applyFont="1" applyFill="1" applyBorder="1"/>
    <xf numFmtId="0" fontId="10" fillId="3" borderId="4" xfId="0" applyFont="1" applyFill="1" applyBorder="1"/>
    <xf numFmtId="0" fontId="12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3" borderId="0" xfId="0" applyFont="1" applyFill="1" applyBorder="1"/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/>
    <xf numFmtId="0" fontId="6" fillId="0" borderId="1" xfId="0" applyFont="1" applyBorder="1"/>
    <xf numFmtId="0" fontId="4" fillId="0" borderId="1" xfId="0" applyFont="1" applyBorder="1"/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9" fillId="4" borderId="1" xfId="0" applyFont="1" applyFill="1" applyBorder="1"/>
    <xf numFmtId="0" fontId="9" fillId="4" borderId="4" xfId="0" applyFont="1" applyFill="1" applyBorder="1"/>
    <xf numFmtId="0" fontId="9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/>
    <xf numFmtId="0" fontId="6" fillId="3" borderId="1" xfId="0" applyFont="1" applyFill="1" applyBorder="1" applyAlignment="1"/>
    <xf numFmtId="0" fontId="7" fillId="3" borderId="1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8" xfId="0" applyBorder="1" applyAlignment="1"/>
    <xf numFmtId="0" fontId="2" fillId="2" borderId="0" xfId="0" applyFont="1" applyFill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4" fillId="3" borderId="3" xfId="0" applyFont="1" applyFill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10" xfId="0" applyFont="1" applyFill="1" applyBorder="1"/>
    <xf numFmtId="0" fontId="9" fillId="4" borderId="1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58"/>
  <sheetViews>
    <sheetView tabSelected="1" zoomScale="130" zoomScaleNormal="130" workbookViewId="0">
      <selection activeCell="AX55" sqref="AX55"/>
    </sheetView>
  </sheetViews>
  <sheetFormatPr defaultRowHeight="11.25" x14ac:dyDescent="0.2"/>
  <cols>
    <col min="1" max="1" width="7.28515625" style="21" customWidth="1"/>
    <col min="2" max="2" width="44.85546875" style="1" customWidth="1"/>
    <col min="3" max="3" width="37.5703125" style="1" customWidth="1"/>
    <col min="4" max="4" width="4.140625" style="11" hidden="1" customWidth="1"/>
    <col min="5" max="5" width="4" style="11" hidden="1" customWidth="1"/>
    <col min="6" max="6" width="4.42578125" style="11" hidden="1" customWidth="1"/>
    <col min="7" max="7" width="4.28515625" style="11" hidden="1" customWidth="1"/>
    <col min="8" max="8" width="3" style="11" hidden="1" customWidth="1"/>
    <col min="9" max="9" width="3.5703125" style="11" hidden="1" customWidth="1"/>
    <col min="10" max="10" width="3" style="11" hidden="1" customWidth="1"/>
    <col min="11" max="11" width="3.5703125" style="11" hidden="1" customWidth="1"/>
    <col min="12" max="12" width="3" style="11" hidden="1" customWidth="1"/>
    <col min="13" max="13" width="4" style="11" hidden="1" customWidth="1"/>
    <col min="14" max="14" width="3.42578125" style="11" hidden="1" customWidth="1"/>
    <col min="15" max="15" width="3.85546875" style="11" hidden="1" customWidth="1"/>
    <col min="16" max="16" width="3.28515625" style="11" hidden="1" customWidth="1"/>
    <col min="17" max="17" width="3" style="11" hidden="1" customWidth="1"/>
    <col min="18" max="18" width="3.85546875" style="11" hidden="1" customWidth="1"/>
    <col min="19" max="19" width="3.42578125" style="12" hidden="1" customWidth="1"/>
    <col min="20" max="26" width="3.42578125" style="11" hidden="1" customWidth="1"/>
    <col min="27" max="27" width="3.5703125" style="11" hidden="1" customWidth="1"/>
    <col min="28" max="28" width="3.28515625" style="11" hidden="1" customWidth="1"/>
    <col min="29" max="29" width="3.28515625" style="23" hidden="1" customWidth="1"/>
    <col min="30" max="30" width="3.42578125" style="24" hidden="1" customWidth="1"/>
    <col min="31" max="31" width="3.42578125" style="14" hidden="1" customWidth="1"/>
    <col min="32" max="32" width="3.42578125" style="24" hidden="1" customWidth="1"/>
    <col min="33" max="33" width="3.42578125" style="11" hidden="1" customWidth="1"/>
    <col min="34" max="34" width="3.42578125" style="24" hidden="1" customWidth="1"/>
    <col min="35" max="35" width="3.42578125" style="11" hidden="1" customWidth="1"/>
    <col min="36" max="37" width="3.5703125" style="11" hidden="1" customWidth="1"/>
    <col min="38" max="39" width="3.42578125" style="11" hidden="1" customWidth="1"/>
    <col min="40" max="42" width="3.42578125" style="15" hidden="1" customWidth="1"/>
    <col min="43" max="44" width="3.42578125" style="11" hidden="1" customWidth="1"/>
    <col min="45" max="45" width="3" style="11" hidden="1" customWidth="1"/>
    <col min="46" max="47" width="3.42578125" style="11" hidden="1" customWidth="1"/>
    <col min="48" max="48" width="6.5703125" style="11" customWidth="1"/>
    <col min="49" max="49" width="5.5703125" style="38" customWidth="1"/>
    <col min="50" max="50" width="12.5703125" style="24" customWidth="1"/>
    <col min="51" max="51" width="12.140625" style="1" customWidth="1"/>
    <col min="52" max="58" width="3" style="1" hidden="1" customWidth="1"/>
    <col min="59" max="87" width="0" style="1" hidden="1" customWidth="1"/>
    <col min="88" max="88" width="2.140625" style="1" hidden="1" customWidth="1"/>
    <col min="89" max="103" width="0" style="1" hidden="1" customWidth="1"/>
    <col min="104" max="16384" width="9.140625" style="1"/>
  </cols>
  <sheetData>
    <row r="1" spans="1:51" ht="12.75" x14ac:dyDescent="0.2">
      <c r="A1" s="42" t="s">
        <v>293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4"/>
    </row>
    <row r="2" spans="1:51" s="33" customFormat="1" ht="12.75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1"/>
    </row>
    <row r="3" spans="1:51" s="11" customFormat="1" ht="12.75" x14ac:dyDescent="0.2">
      <c r="A3" s="10" t="s">
        <v>0</v>
      </c>
      <c r="B3" s="22" t="s">
        <v>294</v>
      </c>
      <c r="C3" s="22" t="s">
        <v>295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34"/>
      <c r="AD3" s="22"/>
      <c r="AE3" s="34"/>
      <c r="AF3" s="22"/>
      <c r="AG3" s="22"/>
      <c r="AH3" s="22"/>
      <c r="AI3" s="22"/>
      <c r="AJ3" s="22"/>
      <c r="AK3" s="22"/>
      <c r="AL3" s="22"/>
      <c r="AM3" s="22"/>
      <c r="AN3" s="35"/>
      <c r="AO3" s="35"/>
      <c r="AP3" s="35"/>
      <c r="AQ3" s="22"/>
      <c r="AR3" s="22"/>
      <c r="AS3" s="22"/>
      <c r="AT3" s="22"/>
      <c r="AU3" s="22"/>
      <c r="AV3" s="36" t="s">
        <v>296</v>
      </c>
      <c r="AW3" s="37"/>
      <c r="AX3" s="10" t="s">
        <v>297</v>
      </c>
      <c r="AY3" s="10" t="s">
        <v>298</v>
      </c>
    </row>
    <row r="4" spans="1:51" s="4" customFormat="1" hidden="1" x14ac:dyDescent="0.2">
      <c r="A4" s="3" t="str">
        <f>"09962"</f>
        <v>09962</v>
      </c>
      <c r="B4" s="4" t="str">
        <f>"AJÁNDÉK TASAK"</f>
        <v>AJÁNDÉK TASAK</v>
      </c>
      <c r="D4" s="6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Y4" s="6"/>
      <c r="Z4" s="6"/>
      <c r="AA4" s="6"/>
      <c r="AB4" s="6"/>
      <c r="AC4" s="8"/>
      <c r="AD4" s="6"/>
      <c r="AE4" s="8"/>
      <c r="AF4" s="6"/>
      <c r="AG4" s="6"/>
      <c r="AH4" s="6"/>
      <c r="AI4" s="6"/>
      <c r="AJ4" s="6"/>
      <c r="AK4" s="6"/>
      <c r="AL4" s="6"/>
      <c r="AM4" s="6"/>
      <c r="AN4" s="9"/>
      <c r="AO4" s="9"/>
      <c r="AP4" s="9"/>
      <c r="AQ4" s="6"/>
      <c r="AR4" s="6"/>
      <c r="AS4" s="6"/>
      <c r="AT4" s="6"/>
      <c r="AU4" s="6"/>
      <c r="AV4" s="6"/>
      <c r="AW4" s="51"/>
      <c r="AX4" s="6"/>
    </row>
    <row r="5" spans="1:51" s="4" customFormat="1" hidden="1" x14ac:dyDescent="0.2">
      <c r="A5" s="3" t="str">
        <f>"07442"</f>
        <v>07442</v>
      </c>
      <c r="B5" s="4" t="str">
        <f>"ALÁÍRÓKÖNYV (A4)"</f>
        <v>ALÁÍRÓKÖNYV (A4)</v>
      </c>
      <c r="C5" s="4" t="str">
        <f>"SAVARIA"</f>
        <v>SAVARIA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8"/>
      <c r="AD5" s="6"/>
      <c r="AE5" s="8"/>
      <c r="AF5" s="6"/>
      <c r="AG5" s="6"/>
      <c r="AH5" s="6"/>
      <c r="AI5" s="6"/>
      <c r="AJ5" s="6"/>
      <c r="AK5" s="6"/>
      <c r="AL5" s="6"/>
      <c r="AM5" s="6"/>
      <c r="AN5" s="9"/>
      <c r="AO5" s="9"/>
      <c r="AP5" s="9"/>
      <c r="AQ5" s="6"/>
      <c r="AR5" s="6"/>
      <c r="AS5" s="6"/>
      <c r="AT5" s="6"/>
      <c r="AU5" s="6"/>
      <c r="AV5" s="6"/>
      <c r="AW5" s="51"/>
      <c r="AX5" s="6"/>
    </row>
    <row r="6" spans="1:51" s="2" customFormat="1" hidden="1" x14ac:dyDescent="0.2">
      <c r="A6" s="3" t="str">
        <f>"09263"</f>
        <v>09263</v>
      </c>
      <c r="B6" s="4" t="str">
        <f>"ARCHIVÁLÓ KONTÉNER"</f>
        <v>ARCHIVÁLÓ KONTÉNER</v>
      </c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1"/>
      <c r="U6" s="11"/>
      <c r="V6" s="11"/>
      <c r="W6" s="11"/>
      <c r="X6" s="11"/>
      <c r="Y6" s="11"/>
      <c r="Z6" s="11"/>
      <c r="AA6" s="11"/>
      <c r="AB6" s="11"/>
      <c r="AC6" s="5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>
        <f t="shared" ref="AV6:AV19" si="0">SUM(D6:AU6)</f>
        <v>0</v>
      </c>
      <c r="AW6" s="38"/>
      <c r="AX6" s="11"/>
    </row>
    <row r="7" spans="1:51" s="2" customFormat="1" hidden="1" x14ac:dyDescent="0.2">
      <c r="A7" s="3" t="str">
        <f>"07596"</f>
        <v>07596</v>
      </c>
      <c r="B7" s="4" t="str">
        <f>"ÁTÍRÓTÖMB"</f>
        <v>ÁTÍRÓTÖMB</v>
      </c>
      <c r="C7" s="4" t="str">
        <f>"A/5 (50X3)"</f>
        <v>A/5 (50X3)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1"/>
      <c r="U7" s="11"/>
      <c r="V7" s="11"/>
      <c r="W7" s="11"/>
      <c r="X7" s="11"/>
      <c r="Y7" s="11"/>
      <c r="Z7" s="11"/>
      <c r="AA7" s="11"/>
      <c r="AB7" s="11"/>
      <c r="AC7" s="5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>
        <f t="shared" si="0"/>
        <v>0</v>
      </c>
      <c r="AW7" s="38"/>
      <c r="AX7" s="11"/>
    </row>
    <row r="8" spans="1:51" s="2" customFormat="1" hidden="1" x14ac:dyDescent="0.2">
      <c r="A8" s="3" t="str">
        <f>"11697"</f>
        <v>11697</v>
      </c>
      <c r="B8" s="4" t="str">
        <f>"ÁTÍRÓTÖMB (ÖNÁTÍRÓS)"</f>
        <v>ÁTÍRÓTÖMB (ÖNÁTÍRÓS)</v>
      </c>
      <c r="C8" s="4" t="str">
        <f>"A/4 (50X2)"</f>
        <v>A/4 (50X2)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1"/>
      <c r="U8" s="11"/>
      <c r="V8" s="11"/>
      <c r="W8" s="11"/>
      <c r="X8" s="11"/>
      <c r="Y8" s="11"/>
      <c r="Z8" s="11"/>
      <c r="AA8" s="11"/>
      <c r="AB8" s="11"/>
      <c r="AC8" s="5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>
        <f t="shared" si="0"/>
        <v>0</v>
      </c>
      <c r="AW8" s="38"/>
      <c r="AX8" s="11"/>
    </row>
    <row r="9" spans="1:51" s="4" customFormat="1" hidden="1" x14ac:dyDescent="0.2">
      <c r="A9" s="3" t="str">
        <f>"08078"</f>
        <v>08078</v>
      </c>
      <c r="B9" s="4" t="str">
        <f>"BELFÖLDI KIKÜLDETÉSI RENDELVÉNY"</f>
        <v>BELFÖLDI KIKÜLDETÉSI RENDELVÉNY</v>
      </c>
      <c r="C9" s="4" t="str">
        <f>"(B.18-70/új)"</f>
        <v>(B.18-70/új)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6"/>
      <c r="AC9" s="5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11">
        <f t="shared" si="0"/>
        <v>0</v>
      </c>
      <c r="AW9" s="38"/>
      <c r="AX9" s="6"/>
    </row>
    <row r="10" spans="1:51" s="4" customFormat="1" hidden="1" x14ac:dyDescent="0.2">
      <c r="A10" s="3" t="str">
        <f>"13629"</f>
        <v>13629</v>
      </c>
      <c r="B10" s="4" t="str">
        <f>"BÉLYEGZŐ"</f>
        <v>BÉLYEGZŐ</v>
      </c>
      <c r="C10" s="4" t="str">
        <f>"COLOP 20"</f>
        <v>COLOP 20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6"/>
      <c r="AC10" s="5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11">
        <f t="shared" si="0"/>
        <v>0</v>
      </c>
      <c r="AW10" s="38"/>
      <c r="AX10" s="6"/>
    </row>
    <row r="11" spans="1:51" s="4" customFormat="1" hidden="1" x14ac:dyDescent="0.2">
      <c r="A11" s="3" t="str">
        <f>"09947"</f>
        <v>09947</v>
      </c>
      <c r="B11" s="4" t="str">
        <f>"BÉLYEGZŐ (DÁTUM)"</f>
        <v>BÉLYEGZŐ (DÁTUM)</v>
      </c>
      <c r="C11" s="4" t="str">
        <f>"COLOP S120"</f>
        <v>COLOP S120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6"/>
      <c r="AC11" s="5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1">
        <f t="shared" si="0"/>
        <v>0</v>
      </c>
      <c r="AW11" s="38"/>
      <c r="AX11" s="6"/>
    </row>
    <row r="12" spans="1:51" s="4" customFormat="1" hidden="1" x14ac:dyDescent="0.2">
      <c r="A12" s="3" t="str">
        <f>"08618"</f>
        <v>08618</v>
      </c>
      <c r="B12" s="4" t="str">
        <f t="shared" ref="B12:B19" si="1">"BÉLYEGZŐPÁRNA"</f>
        <v>BÉLYEGZŐPÁRNA</v>
      </c>
      <c r="C12" s="4" t="str">
        <f>"COLOP BP. 4912"</f>
        <v>COLOP BP. 4912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6"/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1">
        <f t="shared" si="0"/>
        <v>0</v>
      </c>
      <c r="AW12" s="38"/>
      <c r="AX12" s="6"/>
    </row>
    <row r="13" spans="1:51" s="4" customFormat="1" hidden="1" x14ac:dyDescent="0.2">
      <c r="A13" s="3" t="str">
        <f>"08617"</f>
        <v>08617</v>
      </c>
      <c r="B13" s="4" t="str">
        <f t="shared" si="1"/>
        <v>BÉLYEGZŐPÁRNA</v>
      </c>
      <c r="C13" s="4" t="str">
        <f>"COLOP BP. 4913"</f>
        <v>COLOP BP. 4913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6"/>
      <c r="AC13" s="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1">
        <f t="shared" si="0"/>
        <v>0</v>
      </c>
      <c r="AW13" s="38"/>
      <c r="AX13" s="6"/>
    </row>
    <row r="14" spans="1:51" s="4" customFormat="1" hidden="1" x14ac:dyDescent="0.2">
      <c r="A14" s="3" t="str">
        <f>"10905"</f>
        <v>10905</v>
      </c>
      <c r="B14" s="4" t="str">
        <f t="shared" si="1"/>
        <v>BÉLYEGZŐPÁRNA</v>
      </c>
      <c r="C14" s="4" t="str">
        <f>"COLOP E 10"</f>
        <v>COLOP E 10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6"/>
      <c r="AC14" s="5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1">
        <f t="shared" si="0"/>
        <v>0</v>
      </c>
      <c r="AW14" s="38"/>
      <c r="AX14" s="6"/>
    </row>
    <row r="15" spans="1:51" s="4" customFormat="1" hidden="1" x14ac:dyDescent="0.2">
      <c r="A15" s="3" t="str">
        <f>"10906"</f>
        <v>10906</v>
      </c>
      <c r="B15" s="4" t="str">
        <f t="shared" si="1"/>
        <v>BÉLYEGZŐPÁRNA</v>
      </c>
      <c r="C15" s="4" t="str">
        <f>"COLOP E 30"</f>
        <v>COLOP E 30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6"/>
      <c r="AC15" s="5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11">
        <f t="shared" si="0"/>
        <v>0</v>
      </c>
      <c r="AW15" s="38"/>
      <c r="AX15" s="6"/>
    </row>
    <row r="16" spans="1:51" s="4" customFormat="1" hidden="1" x14ac:dyDescent="0.2">
      <c r="A16" s="3" t="str">
        <f>"08573"</f>
        <v>08573</v>
      </c>
      <c r="B16" s="4" t="str">
        <f t="shared" si="1"/>
        <v>BÉLYEGZŐPÁRNA</v>
      </c>
      <c r="C16" s="4" t="str">
        <f>"COLOP E 40"</f>
        <v>COLOP E 40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6"/>
      <c r="AC16" s="5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11">
        <f t="shared" si="0"/>
        <v>0</v>
      </c>
      <c r="AW16" s="38"/>
      <c r="AX16" s="6"/>
    </row>
    <row r="17" spans="1:52" s="4" customFormat="1" hidden="1" x14ac:dyDescent="0.2">
      <c r="A17" s="3" t="str">
        <f>"12655"</f>
        <v>12655</v>
      </c>
      <c r="B17" s="4" t="str">
        <f t="shared" si="1"/>
        <v>BÉLYEGZŐPÁRNA</v>
      </c>
      <c r="C17" s="4" t="str">
        <f>"KORES"</f>
        <v>KORES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6"/>
      <c r="AC17" s="5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11">
        <f t="shared" si="0"/>
        <v>0</v>
      </c>
      <c r="AW17" s="38"/>
      <c r="AX17" s="6"/>
    </row>
    <row r="18" spans="1:52" s="4" customFormat="1" hidden="1" x14ac:dyDescent="0.2">
      <c r="A18" s="3" t="str">
        <f>"13304"</f>
        <v>13304</v>
      </c>
      <c r="B18" s="4" t="str">
        <f t="shared" si="1"/>
        <v>BÉLYEGZŐPÁRNA</v>
      </c>
      <c r="C18" s="4" t="str">
        <f>"LACO"</f>
        <v>LACO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6"/>
      <c r="AC18" s="5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11">
        <f t="shared" si="0"/>
        <v>0</v>
      </c>
      <c r="AW18" s="38"/>
      <c r="AX18" s="6"/>
    </row>
    <row r="19" spans="1:52" s="4" customFormat="1" hidden="1" x14ac:dyDescent="0.2">
      <c r="A19" s="3" t="str">
        <f>"12490"</f>
        <v>12490</v>
      </c>
      <c r="B19" s="4" t="str">
        <f t="shared" si="1"/>
        <v>BÉLYEGZŐPÁRNA</v>
      </c>
      <c r="C19" s="4" t="str">
        <f>"TRODAT 4912"</f>
        <v>TRODAT 4912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6"/>
      <c r="AC19" s="5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11">
        <f t="shared" si="0"/>
        <v>0</v>
      </c>
      <c r="AW19" s="38"/>
      <c r="AX19" s="6"/>
    </row>
    <row r="20" spans="1:52" s="4" customFormat="1" x14ac:dyDescent="0.2">
      <c r="A20" s="3" t="s">
        <v>1</v>
      </c>
      <c r="B20" s="4" t="str">
        <f>"ÁRAZÓSZALAG"</f>
        <v>ÁRAZÓSZALAG</v>
      </c>
      <c r="C20" s="4" t="s">
        <v>2</v>
      </c>
      <c r="D20" s="6">
        <v>10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6"/>
      <c r="AC20" s="5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11">
        <f>SUM(D20:AU20)</f>
        <v>10</v>
      </c>
      <c r="AW20" s="51" t="s">
        <v>3</v>
      </c>
      <c r="AX20" s="6"/>
      <c r="AZ20" s="2"/>
    </row>
    <row r="21" spans="1:52" s="2" customFormat="1" x14ac:dyDescent="0.2">
      <c r="A21" s="3" t="s">
        <v>4</v>
      </c>
      <c r="B21" s="4" t="s">
        <v>5</v>
      </c>
      <c r="C21" s="4" t="s">
        <v>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</v>
      </c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6"/>
      <c r="AC21" s="5"/>
      <c r="AD21" s="6"/>
      <c r="AE21" s="6"/>
      <c r="AF21" s="6"/>
      <c r="AG21" s="6"/>
      <c r="AH21" s="6"/>
      <c r="AI21" s="6">
        <v>1</v>
      </c>
      <c r="AJ21" s="6">
        <v>1</v>
      </c>
      <c r="AK21" s="6"/>
      <c r="AL21" s="6"/>
      <c r="AM21" s="6"/>
      <c r="AN21" s="6"/>
      <c r="AO21" s="6"/>
      <c r="AP21" s="6"/>
      <c r="AQ21" s="6">
        <v>1</v>
      </c>
      <c r="AR21" s="6">
        <v>1</v>
      </c>
      <c r="AS21" s="6"/>
      <c r="AT21" s="6"/>
      <c r="AU21" s="6"/>
      <c r="AV21" s="11">
        <f t="shared" ref="AV21:AV81" si="2">SUM(D21:AU21)</f>
        <v>5</v>
      </c>
      <c r="AW21" s="38" t="s">
        <v>7</v>
      </c>
      <c r="AX21" s="11"/>
    </row>
    <row r="22" spans="1:52" s="2" customFormat="1" x14ac:dyDescent="0.2">
      <c r="A22" s="3" t="s">
        <v>8</v>
      </c>
      <c r="B22" s="4" t="s">
        <v>9</v>
      </c>
      <c r="C22" s="4" t="s">
        <v>10</v>
      </c>
      <c r="D22" s="6">
        <v>5</v>
      </c>
      <c r="E22" s="6">
        <v>1</v>
      </c>
      <c r="F22" s="6">
        <v>14</v>
      </c>
      <c r="G22" s="6">
        <v>2</v>
      </c>
      <c r="H22" s="6"/>
      <c r="I22" s="6"/>
      <c r="J22" s="6"/>
      <c r="K22" s="6"/>
      <c r="L22" s="6"/>
      <c r="M22" s="6"/>
      <c r="N22" s="6"/>
      <c r="O22" s="6">
        <v>1</v>
      </c>
      <c r="P22" s="6"/>
      <c r="Q22" s="6"/>
      <c r="R22" s="6">
        <v>1</v>
      </c>
      <c r="S22" s="7"/>
      <c r="T22" s="6"/>
      <c r="U22" s="6"/>
      <c r="V22" s="6"/>
      <c r="W22" s="6"/>
      <c r="X22" s="6"/>
      <c r="Y22" s="6"/>
      <c r="Z22" s="6"/>
      <c r="AA22" s="6"/>
      <c r="AB22" s="6"/>
      <c r="AC22" s="5"/>
      <c r="AD22" s="6"/>
      <c r="AE22" s="6"/>
      <c r="AF22" s="6"/>
      <c r="AG22" s="6">
        <v>2</v>
      </c>
      <c r="AH22" s="6">
        <v>1</v>
      </c>
      <c r="AI22" s="6">
        <v>2</v>
      </c>
      <c r="AJ22" s="6">
        <v>1</v>
      </c>
      <c r="AK22" s="6"/>
      <c r="AL22" s="6">
        <v>1</v>
      </c>
      <c r="AM22" s="6">
        <v>1</v>
      </c>
      <c r="AN22" s="6">
        <v>1</v>
      </c>
      <c r="AO22" s="6"/>
      <c r="AP22" s="6"/>
      <c r="AQ22" s="6"/>
      <c r="AR22" s="6"/>
      <c r="AS22" s="6">
        <v>1</v>
      </c>
      <c r="AT22" s="6">
        <v>1</v>
      </c>
      <c r="AU22" s="6"/>
      <c r="AV22" s="11">
        <f t="shared" si="2"/>
        <v>35</v>
      </c>
      <c r="AW22" s="38" t="s">
        <v>7</v>
      </c>
      <c r="AX22" s="11"/>
    </row>
    <row r="23" spans="1:52" s="2" customFormat="1" x14ac:dyDescent="0.2">
      <c r="A23" s="3" t="s">
        <v>11</v>
      </c>
      <c r="B23" s="4" t="s">
        <v>12</v>
      </c>
      <c r="C23" s="4" t="s">
        <v>13</v>
      </c>
      <c r="D23" s="6">
        <v>5</v>
      </c>
      <c r="E23" s="6">
        <v>1</v>
      </c>
      <c r="F23" s="6">
        <v>10</v>
      </c>
      <c r="G23" s="6">
        <v>2</v>
      </c>
      <c r="H23" s="6"/>
      <c r="I23" s="6"/>
      <c r="J23" s="6"/>
      <c r="K23" s="6"/>
      <c r="L23" s="6"/>
      <c r="M23" s="6"/>
      <c r="N23" s="6"/>
      <c r="O23" s="6">
        <v>1</v>
      </c>
      <c r="P23" s="6"/>
      <c r="Q23" s="6"/>
      <c r="R23" s="6">
        <v>1</v>
      </c>
      <c r="S23" s="7"/>
      <c r="T23" s="6"/>
      <c r="U23" s="6"/>
      <c r="V23" s="6"/>
      <c r="W23" s="6"/>
      <c r="X23" s="6"/>
      <c r="Y23" s="6"/>
      <c r="Z23" s="6"/>
      <c r="AA23" s="6"/>
      <c r="AB23" s="6"/>
      <c r="AC23" s="5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>
        <v>1</v>
      </c>
      <c r="AO23" s="6"/>
      <c r="AP23" s="6"/>
      <c r="AQ23" s="6"/>
      <c r="AR23" s="6"/>
      <c r="AS23" s="6"/>
      <c r="AT23" s="6"/>
      <c r="AU23" s="6"/>
      <c r="AV23" s="11">
        <f t="shared" si="2"/>
        <v>21</v>
      </c>
      <c r="AW23" s="38" t="s">
        <v>7</v>
      </c>
      <c r="AX23" s="11"/>
    </row>
    <row r="24" spans="1:52" s="2" customFormat="1" x14ac:dyDescent="0.2">
      <c r="A24" s="3" t="s">
        <v>14</v>
      </c>
      <c r="B24" s="2" t="s">
        <v>15</v>
      </c>
      <c r="C24" s="2" t="s">
        <v>16</v>
      </c>
      <c r="D24" s="6"/>
      <c r="E24" s="6"/>
      <c r="F24" s="6">
        <v>2</v>
      </c>
      <c r="G24" s="6">
        <v>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6"/>
      <c r="AC24" s="5"/>
      <c r="AD24" s="6"/>
      <c r="AE24" s="6"/>
      <c r="AF24" s="6"/>
      <c r="AG24" s="6">
        <v>1</v>
      </c>
      <c r="AH24" s="6"/>
      <c r="AI24" s="6">
        <v>1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>
        <v>1</v>
      </c>
      <c r="AU24" s="6"/>
      <c r="AV24" s="11">
        <f t="shared" si="2"/>
        <v>7</v>
      </c>
      <c r="AW24" s="38" t="s">
        <v>7</v>
      </c>
      <c r="AX24" s="11"/>
    </row>
    <row r="25" spans="1:52" s="2" customFormat="1" x14ac:dyDescent="0.2">
      <c r="A25" s="3" t="s">
        <v>17</v>
      </c>
      <c r="B25" s="4" t="str">
        <f>"BINDER CSIPESZ (CLIPS)"</f>
        <v>BINDER CSIPESZ (CLIPS)</v>
      </c>
      <c r="C25" s="4" t="s">
        <v>20</v>
      </c>
      <c r="D25" s="6"/>
      <c r="E25" s="6"/>
      <c r="F25" s="6">
        <v>12</v>
      </c>
      <c r="G25" s="6"/>
      <c r="H25" s="6"/>
      <c r="I25" s="6">
        <v>1</v>
      </c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6"/>
      <c r="AC25" s="5"/>
      <c r="AD25" s="6"/>
      <c r="AE25" s="6"/>
      <c r="AF25" s="6"/>
      <c r="AG25" s="6">
        <v>2</v>
      </c>
      <c r="AH25" s="6">
        <v>2</v>
      </c>
      <c r="AI25" s="6">
        <v>2</v>
      </c>
      <c r="AJ25" s="6">
        <v>2</v>
      </c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11">
        <f t="shared" si="2"/>
        <v>21</v>
      </c>
      <c r="AW25" s="38" t="s">
        <v>21</v>
      </c>
      <c r="AX25" s="11"/>
    </row>
    <row r="26" spans="1:52" s="2" customFormat="1" x14ac:dyDescent="0.2">
      <c r="A26" s="3" t="s">
        <v>19</v>
      </c>
      <c r="B26" s="4" t="str">
        <f>"BINDER CSIPESZ (CLIPS)"</f>
        <v>BINDER CSIPESZ (CLIPS)</v>
      </c>
      <c r="C26" s="4" t="s">
        <v>23</v>
      </c>
      <c r="D26" s="6"/>
      <c r="E26" s="6"/>
      <c r="F26" s="6">
        <v>12</v>
      </c>
      <c r="G26" s="6"/>
      <c r="H26" s="6"/>
      <c r="I26" s="6">
        <v>1</v>
      </c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5"/>
      <c r="AD26" s="6"/>
      <c r="AE26" s="6"/>
      <c r="AF26" s="6"/>
      <c r="AG26" s="6">
        <v>2</v>
      </c>
      <c r="AH26" s="6">
        <v>2</v>
      </c>
      <c r="AI26" s="6">
        <v>2</v>
      </c>
      <c r="AJ26" s="6">
        <v>2</v>
      </c>
      <c r="AK26" s="6"/>
      <c r="AL26" s="6">
        <v>3</v>
      </c>
      <c r="AM26" s="6">
        <v>3</v>
      </c>
      <c r="AN26" s="6"/>
      <c r="AO26" s="6"/>
      <c r="AP26" s="6"/>
      <c r="AQ26" s="6"/>
      <c r="AR26" s="6"/>
      <c r="AS26" s="6"/>
      <c r="AT26" s="6"/>
      <c r="AU26" s="6"/>
      <c r="AV26" s="11">
        <f t="shared" si="2"/>
        <v>27</v>
      </c>
      <c r="AW26" s="38" t="s">
        <v>21</v>
      </c>
      <c r="AX26" s="11"/>
    </row>
    <row r="27" spans="1:52" s="2" customFormat="1" x14ac:dyDescent="0.2">
      <c r="A27" s="3" t="s">
        <v>22</v>
      </c>
      <c r="B27" s="4" t="str">
        <f>"BINDER CSIPESZ (CLIPS)"</f>
        <v>BINDER CSIPESZ (CLIPS)</v>
      </c>
      <c r="C27" s="4" t="s">
        <v>25</v>
      </c>
      <c r="D27" s="6"/>
      <c r="E27" s="6"/>
      <c r="F27" s="6"/>
      <c r="G27" s="6"/>
      <c r="H27" s="6"/>
      <c r="I27" s="6">
        <v>1</v>
      </c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5"/>
      <c r="AD27" s="6"/>
      <c r="AE27" s="6"/>
      <c r="AF27" s="6"/>
      <c r="AG27" s="6">
        <v>2</v>
      </c>
      <c r="AH27" s="6">
        <v>2</v>
      </c>
      <c r="AI27" s="6">
        <v>2</v>
      </c>
      <c r="AJ27" s="6">
        <v>2</v>
      </c>
      <c r="AK27" s="6"/>
      <c r="AL27" s="6">
        <v>3</v>
      </c>
      <c r="AM27" s="6">
        <v>3</v>
      </c>
      <c r="AN27" s="6">
        <v>4</v>
      </c>
      <c r="AO27" s="6"/>
      <c r="AP27" s="6"/>
      <c r="AQ27" s="6"/>
      <c r="AR27" s="6"/>
      <c r="AS27" s="6"/>
      <c r="AT27" s="6"/>
      <c r="AU27" s="6"/>
      <c r="AV27" s="11">
        <f t="shared" si="2"/>
        <v>19</v>
      </c>
      <c r="AW27" s="38" t="s">
        <v>21</v>
      </c>
      <c r="AX27" s="11"/>
    </row>
    <row r="28" spans="1:52" s="2" customFormat="1" x14ac:dyDescent="0.2">
      <c r="A28" s="3" t="s">
        <v>24</v>
      </c>
      <c r="B28" s="4" t="str">
        <f>"BINDER CSIPESZ (CLIPS)"</f>
        <v>BINDER CSIPESZ (CLIPS)</v>
      </c>
      <c r="C28" s="4" t="s">
        <v>27</v>
      </c>
      <c r="D28" s="6"/>
      <c r="E28" s="6"/>
      <c r="F28" s="6"/>
      <c r="G28" s="6"/>
      <c r="H28" s="6"/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5"/>
      <c r="AD28" s="6"/>
      <c r="AE28" s="6"/>
      <c r="AF28" s="6"/>
      <c r="AG28" s="6">
        <v>2</v>
      </c>
      <c r="AH28" s="6">
        <v>2</v>
      </c>
      <c r="AI28" s="6">
        <v>2</v>
      </c>
      <c r="AJ28" s="6">
        <v>2</v>
      </c>
      <c r="AK28" s="6"/>
      <c r="AL28" s="6"/>
      <c r="AM28" s="6"/>
      <c r="AN28" s="6">
        <v>4</v>
      </c>
      <c r="AO28" s="6"/>
      <c r="AP28" s="6"/>
      <c r="AQ28" s="6"/>
      <c r="AR28" s="6"/>
      <c r="AS28" s="6"/>
      <c r="AT28" s="6"/>
      <c r="AU28" s="6"/>
      <c r="AV28" s="11">
        <f t="shared" si="2"/>
        <v>13</v>
      </c>
      <c r="AW28" s="38" t="s">
        <v>21</v>
      </c>
      <c r="AX28" s="11"/>
    </row>
    <row r="29" spans="1:52" s="4" customFormat="1" hidden="1" x14ac:dyDescent="0.2">
      <c r="A29" s="3" t="s">
        <v>28</v>
      </c>
      <c r="B29" s="4" t="s">
        <v>29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5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11">
        <f t="shared" si="2"/>
        <v>0</v>
      </c>
      <c r="AW29" s="38" t="s">
        <v>21</v>
      </c>
      <c r="AX29" s="6"/>
    </row>
    <row r="30" spans="1:52" s="4" customFormat="1" hidden="1" x14ac:dyDescent="0.2">
      <c r="A30" s="3" t="s">
        <v>30</v>
      </c>
      <c r="B30" s="4" t="s">
        <v>29</v>
      </c>
      <c r="C30" s="4" t="str">
        <f>"DELI 0620"</f>
        <v>DELI 0620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5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11">
        <f t="shared" si="2"/>
        <v>0</v>
      </c>
      <c r="AW30" s="38" t="s">
        <v>21</v>
      </c>
      <c r="AX30" s="6"/>
    </row>
    <row r="31" spans="1:52" s="4" customFormat="1" hidden="1" x14ac:dyDescent="0.2">
      <c r="A31" s="3" t="s">
        <v>31</v>
      </c>
      <c r="B31" s="4" t="s">
        <v>29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5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11">
        <f t="shared" si="2"/>
        <v>0</v>
      </c>
      <c r="AW31" s="38" t="s">
        <v>21</v>
      </c>
      <c r="AX31" s="6"/>
      <c r="AZ31" s="2"/>
    </row>
    <row r="32" spans="1:52" s="2" customFormat="1" hidden="1" x14ac:dyDescent="0.2">
      <c r="A32" s="3" t="s">
        <v>32</v>
      </c>
      <c r="B32" s="4" t="s">
        <v>29</v>
      </c>
      <c r="C32" s="4" t="str">
        <f>"080X120 CM"</f>
        <v>080X120 CM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5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11">
        <f t="shared" si="2"/>
        <v>0</v>
      </c>
      <c r="AW32" s="38" t="s">
        <v>21</v>
      </c>
      <c r="AX32" s="11"/>
    </row>
    <row r="33" spans="1:52" s="2" customFormat="1" hidden="1" x14ac:dyDescent="0.2">
      <c r="A33" s="3" t="s">
        <v>33</v>
      </c>
      <c r="B33" s="4" t="s">
        <v>29</v>
      </c>
      <c r="C33" s="4" t="str">
        <f>"5KG-OS"</f>
        <v>5KG-OS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5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11">
        <f t="shared" si="2"/>
        <v>0</v>
      </c>
      <c r="AW33" s="38" t="s">
        <v>21</v>
      </c>
      <c r="AX33" s="11"/>
      <c r="AZ33" s="4"/>
    </row>
    <row r="34" spans="1:52" s="4" customFormat="1" hidden="1" x14ac:dyDescent="0.2">
      <c r="A34" s="3" t="s">
        <v>34</v>
      </c>
      <c r="B34" s="4" t="s">
        <v>29</v>
      </c>
      <c r="C34" s="4" t="str">
        <f>"A/1"</f>
        <v>A/1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5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11">
        <f t="shared" si="2"/>
        <v>0</v>
      </c>
      <c r="AW34" s="38" t="s">
        <v>21</v>
      </c>
      <c r="AX34" s="6"/>
    </row>
    <row r="35" spans="1:52" s="4" customFormat="1" hidden="1" x14ac:dyDescent="0.2">
      <c r="A35" s="3" t="s">
        <v>35</v>
      </c>
      <c r="B35" s="4" t="s">
        <v>29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5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11">
        <f t="shared" si="2"/>
        <v>0</v>
      </c>
      <c r="AW35" s="38" t="s">
        <v>21</v>
      </c>
      <c r="AX35" s="6"/>
      <c r="AZ35" s="2"/>
    </row>
    <row r="36" spans="1:52" s="2" customFormat="1" hidden="1" x14ac:dyDescent="0.2">
      <c r="A36" s="3" t="s">
        <v>36</v>
      </c>
      <c r="B36" s="4" t="s">
        <v>29</v>
      </c>
      <c r="C36" s="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5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11">
        <f t="shared" si="2"/>
        <v>0</v>
      </c>
      <c r="AW36" s="38" t="s">
        <v>21</v>
      </c>
      <c r="AX36" s="11"/>
    </row>
    <row r="37" spans="1:52" s="2" customFormat="1" hidden="1" x14ac:dyDescent="0.2">
      <c r="A37" s="3" t="s">
        <v>37</v>
      </c>
      <c r="B37" s="4" t="s">
        <v>29</v>
      </c>
      <c r="C37" s="4" t="str">
        <f>"A/4 (20/40-ES)"</f>
        <v>A/4 (20/40-ES)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5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11">
        <f t="shared" si="2"/>
        <v>0</v>
      </c>
      <c r="AW37" s="38" t="s">
        <v>21</v>
      </c>
      <c r="AX37" s="11"/>
    </row>
    <row r="38" spans="1:52" s="2" customFormat="1" hidden="1" x14ac:dyDescent="0.2">
      <c r="A38" s="3" t="s">
        <v>38</v>
      </c>
      <c r="B38" s="4" t="s">
        <v>29</v>
      </c>
      <c r="C38" s="4" t="str">
        <f>"A/4 (40/80-AS)"</f>
        <v>A/4 (40/80-AS)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5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1">
        <f t="shared" si="2"/>
        <v>0</v>
      </c>
      <c r="AW38" s="38" t="s">
        <v>21</v>
      </c>
      <c r="AX38" s="11"/>
    </row>
    <row r="39" spans="1:52" s="2" customFormat="1" x14ac:dyDescent="0.2">
      <c r="A39" s="3" t="s">
        <v>26</v>
      </c>
      <c r="B39" s="4" t="str">
        <f>"BINDER CSIPESZ (CLIPS)"</f>
        <v>BINDER CSIPESZ (CLIPS)</v>
      </c>
      <c r="C39" s="4" t="s">
        <v>39</v>
      </c>
      <c r="D39" s="6"/>
      <c r="E39" s="6"/>
      <c r="F39" s="6"/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  <c r="Q39" s="6"/>
      <c r="R39" s="6">
        <v>2</v>
      </c>
      <c r="S39" s="7"/>
      <c r="T39" s="6"/>
      <c r="U39" s="6"/>
      <c r="V39" s="6"/>
      <c r="W39" s="6"/>
      <c r="X39" s="6"/>
      <c r="Y39" s="6"/>
      <c r="Z39" s="6"/>
      <c r="AA39" s="6"/>
      <c r="AB39" s="6"/>
      <c r="AC39" s="5"/>
      <c r="AD39" s="6"/>
      <c r="AE39" s="6"/>
      <c r="AF39" s="6"/>
      <c r="AG39" s="6">
        <v>2</v>
      </c>
      <c r="AH39" s="6">
        <v>2</v>
      </c>
      <c r="AI39" s="6">
        <v>2</v>
      </c>
      <c r="AJ39" s="6">
        <v>2</v>
      </c>
      <c r="AK39" s="6"/>
      <c r="AL39" s="6">
        <v>3</v>
      </c>
      <c r="AM39" s="6">
        <v>3</v>
      </c>
      <c r="AN39" s="6">
        <v>4</v>
      </c>
      <c r="AO39" s="6"/>
      <c r="AP39" s="6"/>
      <c r="AQ39" s="6"/>
      <c r="AR39" s="6"/>
      <c r="AS39" s="6"/>
      <c r="AT39" s="6"/>
      <c r="AU39" s="6"/>
      <c r="AV39" s="11">
        <f t="shared" si="2"/>
        <v>21</v>
      </c>
      <c r="AW39" s="38" t="s">
        <v>21</v>
      </c>
      <c r="AX39" s="11"/>
    </row>
    <row r="40" spans="1:52" s="2" customFormat="1" x14ac:dyDescent="0.2">
      <c r="A40" s="3" t="s">
        <v>28</v>
      </c>
      <c r="B40" s="4" t="str">
        <f>"BINDER CSIPESZ (CLIPS)"</f>
        <v>BINDER CSIPESZ (CLIPS)</v>
      </c>
      <c r="C40" s="4" t="s">
        <v>40</v>
      </c>
      <c r="D40" s="6"/>
      <c r="E40" s="6"/>
      <c r="F40" s="6"/>
      <c r="G40" s="6"/>
      <c r="H40" s="6"/>
      <c r="I40" s="6">
        <v>1</v>
      </c>
      <c r="J40" s="6"/>
      <c r="K40" s="6"/>
      <c r="L40" s="6"/>
      <c r="M40" s="6"/>
      <c r="N40" s="6"/>
      <c r="O40" s="6"/>
      <c r="P40" s="6"/>
      <c r="Q40" s="6"/>
      <c r="R40" s="6">
        <v>2</v>
      </c>
      <c r="S40" s="7"/>
      <c r="T40" s="6"/>
      <c r="U40" s="6"/>
      <c r="V40" s="6"/>
      <c r="W40" s="6"/>
      <c r="X40" s="6"/>
      <c r="Y40" s="6"/>
      <c r="Z40" s="6"/>
      <c r="AA40" s="6"/>
      <c r="AB40" s="6"/>
      <c r="AC40" s="5"/>
      <c r="AD40" s="6"/>
      <c r="AE40" s="6"/>
      <c r="AF40" s="6"/>
      <c r="AG40" s="6">
        <v>2</v>
      </c>
      <c r="AH40" s="6">
        <v>2</v>
      </c>
      <c r="AI40" s="6">
        <v>2</v>
      </c>
      <c r="AJ40" s="6">
        <v>2</v>
      </c>
      <c r="AK40" s="6"/>
      <c r="AL40" s="6"/>
      <c r="AM40" s="6"/>
      <c r="AN40" s="6">
        <v>4</v>
      </c>
      <c r="AO40" s="6"/>
      <c r="AP40" s="6"/>
      <c r="AQ40" s="6"/>
      <c r="AR40" s="6"/>
      <c r="AS40" s="6"/>
      <c r="AT40" s="6"/>
      <c r="AU40" s="6"/>
      <c r="AV40" s="11">
        <f t="shared" si="2"/>
        <v>15</v>
      </c>
      <c r="AW40" s="38" t="s">
        <v>21</v>
      </c>
      <c r="AX40" s="11"/>
    </row>
    <row r="41" spans="1:52" s="2" customFormat="1" x14ac:dyDescent="0.2">
      <c r="A41" s="3" t="s">
        <v>30</v>
      </c>
      <c r="B41" s="4" t="str">
        <f t="shared" ref="B41:B51" si="3">"BORÍTÉK (ÖNTAPADÓS) SZILIKONOS"</f>
        <v>BORÍTÉK (ÖNTAPADÓS) SZILIKONOS</v>
      </c>
      <c r="C41" s="4" t="s">
        <v>41</v>
      </c>
      <c r="D41" s="6"/>
      <c r="E41" s="6"/>
      <c r="F41" s="6"/>
      <c r="G41" s="6"/>
      <c r="H41" s="6"/>
      <c r="I41" s="6">
        <v>200</v>
      </c>
      <c r="J41" s="6"/>
      <c r="K41" s="6"/>
      <c r="L41" s="6"/>
      <c r="M41" s="6"/>
      <c r="N41" s="6"/>
      <c r="O41" s="6">
        <v>5</v>
      </c>
      <c r="P41" s="6"/>
      <c r="Q41" s="6"/>
      <c r="R41" s="6">
        <v>20</v>
      </c>
      <c r="S41" s="7"/>
      <c r="T41" s="6"/>
      <c r="U41" s="6"/>
      <c r="V41" s="6"/>
      <c r="W41" s="6"/>
      <c r="X41" s="6"/>
      <c r="Y41" s="6"/>
      <c r="Z41" s="6"/>
      <c r="AA41" s="6"/>
      <c r="AB41" s="6"/>
      <c r="AC41" s="5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>
        <v>30</v>
      </c>
      <c r="AO41" s="6"/>
      <c r="AP41" s="6"/>
      <c r="AQ41" s="6"/>
      <c r="AR41" s="6"/>
      <c r="AS41" s="6"/>
      <c r="AT41" s="6"/>
      <c r="AU41" s="6"/>
      <c r="AV41" s="11">
        <f t="shared" si="2"/>
        <v>255</v>
      </c>
      <c r="AW41" s="38" t="s">
        <v>7</v>
      </c>
      <c r="AX41" s="11"/>
    </row>
    <row r="42" spans="1:52" s="2" customFormat="1" x14ac:dyDescent="0.2">
      <c r="A42" s="3" t="s">
        <v>31</v>
      </c>
      <c r="B42" s="4" t="str">
        <f t="shared" si="3"/>
        <v>BORÍTÉK (ÖNTAPADÓS) SZILIKONOS</v>
      </c>
      <c r="C42" s="4" t="s">
        <v>42</v>
      </c>
      <c r="D42" s="6"/>
      <c r="E42" s="6"/>
      <c r="F42" s="26">
        <v>1500</v>
      </c>
      <c r="G42" s="6"/>
      <c r="H42" s="6"/>
      <c r="I42" s="6">
        <v>200</v>
      </c>
      <c r="J42" s="6"/>
      <c r="K42" s="6"/>
      <c r="L42" s="6"/>
      <c r="M42" s="6"/>
      <c r="N42" s="6"/>
      <c r="O42" s="6">
        <v>5</v>
      </c>
      <c r="P42" s="6"/>
      <c r="Q42" s="6"/>
      <c r="R42" s="6">
        <v>10</v>
      </c>
      <c r="S42" s="7"/>
      <c r="T42" s="6"/>
      <c r="U42" s="6"/>
      <c r="V42" s="6"/>
      <c r="W42" s="6"/>
      <c r="X42" s="6"/>
      <c r="Y42" s="6"/>
      <c r="Z42" s="6"/>
      <c r="AA42" s="6"/>
      <c r="AB42" s="6"/>
      <c r="AC42" s="5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>
        <v>30</v>
      </c>
      <c r="AO42" s="6"/>
      <c r="AP42" s="6"/>
      <c r="AQ42" s="6"/>
      <c r="AR42" s="6"/>
      <c r="AS42" s="6"/>
      <c r="AT42" s="6"/>
      <c r="AU42" s="6"/>
      <c r="AV42" s="11">
        <f t="shared" si="2"/>
        <v>1745</v>
      </c>
      <c r="AW42" s="38" t="s">
        <v>7</v>
      </c>
      <c r="AX42" s="11"/>
    </row>
    <row r="43" spans="1:52" s="2" customFormat="1" x14ac:dyDescent="0.2">
      <c r="A43" s="3" t="s">
        <v>32</v>
      </c>
      <c r="B43" s="4" t="str">
        <f t="shared" si="3"/>
        <v>BORÍTÉK (ÖNTAPADÓS) SZILIKONOS</v>
      </c>
      <c r="C43" s="4" t="s">
        <v>43</v>
      </c>
      <c r="D43" s="6"/>
      <c r="E43" s="6"/>
      <c r="F43" s="6">
        <v>50</v>
      </c>
      <c r="G43" s="6">
        <v>100</v>
      </c>
      <c r="H43" s="6"/>
      <c r="I43" s="6">
        <v>300</v>
      </c>
      <c r="J43" s="6"/>
      <c r="K43" s="6"/>
      <c r="L43" s="6"/>
      <c r="M43" s="6"/>
      <c r="N43" s="6"/>
      <c r="O43" s="6">
        <v>10</v>
      </c>
      <c r="P43" s="6"/>
      <c r="Q43" s="6"/>
      <c r="R43" s="6">
        <v>10</v>
      </c>
      <c r="S43" s="7"/>
      <c r="T43" s="6"/>
      <c r="U43" s="6"/>
      <c r="V43" s="6"/>
      <c r="W43" s="6"/>
      <c r="X43" s="6"/>
      <c r="Y43" s="6"/>
      <c r="Z43" s="6"/>
      <c r="AA43" s="6"/>
      <c r="AB43" s="6"/>
      <c r="AC43" s="5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>
        <v>30</v>
      </c>
      <c r="AO43" s="6"/>
      <c r="AP43" s="6"/>
      <c r="AQ43" s="6">
        <v>20</v>
      </c>
      <c r="AR43" s="6">
        <v>20</v>
      </c>
      <c r="AS43" s="6"/>
      <c r="AT43" s="6"/>
      <c r="AU43" s="6"/>
      <c r="AV43" s="11">
        <f t="shared" si="2"/>
        <v>540</v>
      </c>
      <c r="AW43" s="38" t="s">
        <v>7</v>
      </c>
      <c r="AX43" s="11"/>
    </row>
    <row r="44" spans="1:52" s="2" customFormat="1" hidden="1" x14ac:dyDescent="0.2">
      <c r="A44" s="3"/>
      <c r="B44" s="4" t="str">
        <f t="shared" si="3"/>
        <v>BORÍTÉK (ÖNTAPADÓS) SZILIKONOS</v>
      </c>
      <c r="C44" s="4" t="str">
        <f>"A/4"</f>
        <v>A/4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5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11">
        <f t="shared" si="2"/>
        <v>0</v>
      </c>
      <c r="AW44" s="38" t="s">
        <v>7</v>
      </c>
      <c r="AX44" s="11"/>
    </row>
    <row r="45" spans="1:52" s="2" customFormat="1" hidden="1" x14ac:dyDescent="0.2">
      <c r="A45" s="3"/>
      <c r="B45" s="4" t="str">
        <f t="shared" si="3"/>
        <v>BORÍTÉK (ÖNTAPADÓS) SZILIKONOS</v>
      </c>
      <c r="C45" s="4" t="str">
        <f>"A/5"</f>
        <v>A/5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5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11">
        <f t="shared" si="2"/>
        <v>0</v>
      </c>
      <c r="AW45" s="38" t="s">
        <v>7</v>
      </c>
      <c r="AX45" s="11"/>
    </row>
    <row r="46" spans="1:52" s="2" customFormat="1" hidden="1" x14ac:dyDescent="0.2">
      <c r="A46" s="3"/>
      <c r="B46" s="4" t="str">
        <f t="shared" si="3"/>
        <v>BORÍTÉK (ÖNTAPADÓS) SZILIKONOS</v>
      </c>
      <c r="C46" s="4" t="s">
        <v>44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5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11">
        <f t="shared" si="2"/>
        <v>0</v>
      </c>
      <c r="AW46" s="38" t="s">
        <v>7</v>
      </c>
      <c r="AX46" s="11"/>
    </row>
    <row r="47" spans="1:52" s="2" customFormat="1" hidden="1" x14ac:dyDescent="0.2">
      <c r="A47" s="3"/>
      <c r="B47" s="4" t="str">
        <f t="shared" si="3"/>
        <v>BORÍTÉK (ÖNTAPADÓS) SZILIKONOS</v>
      </c>
      <c r="C47" s="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5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11">
        <f t="shared" si="2"/>
        <v>0</v>
      </c>
      <c r="AW47" s="38" t="s">
        <v>7</v>
      </c>
      <c r="AX47" s="11"/>
      <c r="AZ47" s="4"/>
    </row>
    <row r="48" spans="1:52" s="4" customFormat="1" hidden="1" x14ac:dyDescent="0.2">
      <c r="A48" s="3"/>
      <c r="B48" s="4" t="str">
        <f t="shared" si="3"/>
        <v>BORÍTÉK (ÖNTAPADÓS) SZILIKONOS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5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11">
        <f t="shared" si="2"/>
        <v>0</v>
      </c>
      <c r="AW48" s="38" t="s">
        <v>7</v>
      </c>
      <c r="AX48" s="6"/>
    </row>
    <row r="49" spans="1:53" s="4" customFormat="1" hidden="1" x14ac:dyDescent="0.2">
      <c r="A49" s="3"/>
      <c r="B49" s="4" t="str">
        <f t="shared" si="3"/>
        <v>BORÍTÉK (ÖNTAPADÓS) SZILIKONOS</v>
      </c>
      <c r="C49" s="4" t="str">
        <f>"B.318-206"</f>
        <v>B.318-206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5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11">
        <f t="shared" si="2"/>
        <v>0</v>
      </c>
      <c r="AW49" s="38" t="s">
        <v>7</v>
      </c>
      <c r="AX49" s="6"/>
    </row>
    <row r="50" spans="1:53" s="4" customFormat="1" hidden="1" x14ac:dyDescent="0.2">
      <c r="A50" s="3"/>
      <c r="B50" s="4" t="str">
        <f t="shared" si="3"/>
        <v>BORÍTÉK (ÖNTAPADÓS) SZILIKONOS</v>
      </c>
      <c r="C50" s="4" t="str">
        <f>"C.18-72"</f>
        <v>C.18-72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5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11">
        <f t="shared" si="2"/>
        <v>0</v>
      </c>
      <c r="AW50" s="38" t="s">
        <v>7</v>
      </c>
      <c r="AX50" s="6"/>
    </row>
    <row r="51" spans="1:53" s="4" customFormat="1" hidden="1" x14ac:dyDescent="0.2">
      <c r="A51" s="3"/>
      <c r="B51" s="4" t="str">
        <f t="shared" si="3"/>
        <v>BORÍTÉK (ÖNTAPADÓS) SZILIKONOS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5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11">
        <f t="shared" si="2"/>
        <v>0</v>
      </c>
      <c r="AW51" s="38" t="s">
        <v>7</v>
      </c>
      <c r="AX51" s="6"/>
    </row>
    <row r="52" spans="1:53" s="4" customFormat="1" x14ac:dyDescent="0.2">
      <c r="A52" s="3" t="s">
        <v>33</v>
      </c>
      <c r="B52" s="4" t="s">
        <v>45</v>
      </c>
      <c r="C52" s="4" t="s">
        <v>46</v>
      </c>
      <c r="D52" s="6"/>
      <c r="E52" s="6"/>
      <c r="F52" s="6"/>
      <c r="G52" s="6"/>
      <c r="H52" s="6"/>
      <c r="I52" s="6">
        <v>200</v>
      </c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5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11">
        <f t="shared" si="2"/>
        <v>200</v>
      </c>
      <c r="AW52" s="38" t="s">
        <v>7</v>
      </c>
      <c r="AX52" s="6"/>
    </row>
    <row r="53" spans="1:53" s="2" customFormat="1" x14ac:dyDescent="0.2">
      <c r="A53" s="3" t="s">
        <v>34</v>
      </c>
      <c r="B53" s="2" t="s">
        <v>47</v>
      </c>
      <c r="C53" s="2" t="s">
        <v>48</v>
      </c>
      <c r="D53" s="6">
        <v>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11">
        <f t="shared" si="2"/>
        <v>2</v>
      </c>
      <c r="AW53" s="38" t="s">
        <v>7</v>
      </c>
      <c r="AX53" s="11"/>
    </row>
    <row r="54" spans="1:53" s="2" customFormat="1" x14ac:dyDescent="0.2">
      <c r="A54" s="3" t="s">
        <v>35</v>
      </c>
      <c r="B54" s="4" t="str">
        <f>"CERUZA (ZEBRA) PIXIRON"</f>
        <v>CERUZA (ZEBRA) PIXIRON</v>
      </c>
      <c r="C54" s="4" t="str">
        <f>"0.5 MM"</f>
        <v>0.5 MM</v>
      </c>
      <c r="D54" s="6">
        <v>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5"/>
      <c r="AD54" s="6"/>
      <c r="AE54" s="6"/>
      <c r="AF54" s="6"/>
      <c r="AG54" s="6">
        <v>2</v>
      </c>
      <c r="AH54" s="6">
        <v>2</v>
      </c>
      <c r="AI54" s="6">
        <v>2</v>
      </c>
      <c r="AJ54" s="6">
        <v>2</v>
      </c>
      <c r="AK54" s="6"/>
      <c r="AL54" s="6">
        <v>2</v>
      </c>
      <c r="AM54" s="6">
        <v>2</v>
      </c>
      <c r="AN54" s="6">
        <v>1</v>
      </c>
      <c r="AO54" s="6"/>
      <c r="AP54" s="6"/>
      <c r="AQ54" s="6"/>
      <c r="AR54" s="6"/>
      <c r="AS54" s="6"/>
      <c r="AT54" s="6"/>
      <c r="AU54" s="6"/>
      <c r="AV54" s="11">
        <f t="shared" si="2"/>
        <v>16</v>
      </c>
      <c r="AW54" s="38" t="s">
        <v>7</v>
      </c>
      <c r="AX54" s="11"/>
    </row>
    <row r="55" spans="1:53" s="4" customFormat="1" x14ac:dyDescent="0.2">
      <c r="A55" s="3" t="s">
        <v>36</v>
      </c>
      <c r="B55" s="4" t="s">
        <v>29</v>
      </c>
      <c r="C55" s="4" t="str">
        <f>"0,5 MM"</f>
        <v>0,5 MM</v>
      </c>
      <c r="D55" s="6">
        <v>3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5"/>
      <c r="AD55" s="6"/>
      <c r="AE55" s="6"/>
      <c r="AF55" s="6"/>
      <c r="AG55" s="6">
        <v>2</v>
      </c>
      <c r="AH55" s="6">
        <v>2</v>
      </c>
      <c r="AI55" s="6">
        <v>2</v>
      </c>
      <c r="AJ55" s="6">
        <v>2</v>
      </c>
      <c r="AK55" s="6"/>
      <c r="AL55" s="6">
        <v>2</v>
      </c>
      <c r="AM55" s="6">
        <v>2</v>
      </c>
      <c r="AN55" s="6">
        <v>2</v>
      </c>
      <c r="AO55" s="6"/>
      <c r="AP55" s="6"/>
      <c r="AQ55" s="6"/>
      <c r="AR55" s="6"/>
      <c r="AS55" s="6"/>
      <c r="AT55" s="6"/>
      <c r="AU55" s="6"/>
      <c r="AV55" s="11">
        <f t="shared" si="2"/>
        <v>17</v>
      </c>
      <c r="AW55" s="38" t="s">
        <v>7</v>
      </c>
      <c r="AX55" s="6"/>
    </row>
    <row r="56" spans="1:53" s="4" customFormat="1" hidden="1" x14ac:dyDescent="0.2">
      <c r="A56" s="3"/>
      <c r="B56" s="4" t="str">
        <f>"EMELŐGÉP NAPLÓ"</f>
        <v>EMELŐGÉP NAPLÓ</v>
      </c>
      <c r="C56" s="4" t="str">
        <f>"A/5"</f>
        <v>A/5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13"/>
      <c r="AD56" s="6"/>
      <c r="AE56" s="8"/>
      <c r="AF56" s="6"/>
      <c r="AG56" s="6"/>
      <c r="AH56" s="6"/>
      <c r="AI56" s="6"/>
      <c r="AJ56" s="6"/>
      <c r="AK56" s="6"/>
      <c r="AL56" s="6"/>
      <c r="AM56" s="6"/>
      <c r="AN56" s="9"/>
      <c r="AO56" s="9"/>
      <c r="AP56" s="9"/>
      <c r="AQ56" s="6"/>
      <c r="AR56" s="6"/>
      <c r="AS56" s="6"/>
      <c r="AT56" s="6"/>
      <c r="AU56" s="6"/>
      <c r="AV56" s="11">
        <f t="shared" si="2"/>
        <v>0</v>
      </c>
      <c r="AW56" s="38" t="s">
        <v>7</v>
      </c>
      <c r="AX56" s="6"/>
    </row>
    <row r="57" spans="1:53" s="4" customFormat="1" hidden="1" x14ac:dyDescent="0.2">
      <c r="A57" s="3"/>
      <c r="B57" s="4" t="str">
        <f>"ENGEDÉLY TŰZVESZÉLYES MUNKAVÉGZÉSHEZ"</f>
        <v>ENGEDÉLY TŰZVESZÉLYES MUNKAVÉGZÉSHEZ</v>
      </c>
      <c r="C57" s="4" t="str">
        <f>"A/4 (25X2)"</f>
        <v>A/4 (25X2)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13"/>
      <c r="AD57" s="6"/>
      <c r="AE57" s="8"/>
      <c r="AF57" s="6"/>
      <c r="AG57" s="6"/>
      <c r="AH57" s="6"/>
      <c r="AI57" s="6"/>
      <c r="AJ57" s="6"/>
      <c r="AK57" s="6"/>
      <c r="AL57" s="6"/>
      <c r="AM57" s="6"/>
      <c r="AN57" s="9"/>
      <c r="AO57" s="9"/>
      <c r="AP57" s="9"/>
      <c r="AQ57" s="6"/>
      <c r="AR57" s="6"/>
      <c r="AS57" s="6"/>
      <c r="AT57" s="6"/>
      <c r="AU57" s="6"/>
      <c r="AV57" s="11">
        <f t="shared" si="2"/>
        <v>0</v>
      </c>
      <c r="AW57" s="38" t="s">
        <v>7</v>
      </c>
      <c r="AX57" s="6"/>
    </row>
    <row r="58" spans="1:53" s="4" customFormat="1" hidden="1" x14ac:dyDescent="0.2">
      <c r="A58" s="3"/>
      <c r="B58" s="4" t="str">
        <f>"ÉPÍTÉSI NAPLÓ (25X3)"</f>
        <v>ÉPÍTÉSI NAPLÓ (25X3)</v>
      </c>
      <c r="C58" s="4" t="str">
        <f>"PÁTRIA"</f>
        <v>PÁTRIA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13"/>
      <c r="AD58" s="6"/>
      <c r="AE58" s="8"/>
      <c r="AF58" s="6"/>
      <c r="AG58" s="6"/>
      <c r="AH58" s="6"/>
      <c r="AI58" s="6"/>
      <c r="AJ58" s="6"/>
      <c r="AK58" s="6"/>
      <c r="AL58" s="6"/>
      <c r="AM58" s="6"/>
      <c r="AN58" s="9"/>
      <c r="AO58" s="9"/>
      <c r="AP58" s="9"/>
      <c r="AQ58" s="6"/>
      <c r="AR58" s="6"/>
      <c r="AS58" s="6"/>
      <c r="AT58" s="6"/>
      <c r="AU58" s="6"/>
      <c r="AV58" s="11">
        <f t="shared" si="2"/>
        <v>0</v>
      </c>
      <c r="AW58" s="38" t="s">
        <v>7</v>
      </c>
      <c r="AX58" s="6"/>
    </row>
    <row r="59" spans="1:53" s="4" customFormat="1" hidden="1" x14ac:dyDescent="0.2">
      <c r="A59" s="3"/>
      <c r="B59" s="4" t="str">
        <f>"ETIKETT CIMKE"</f>
        <v>ETIKETT CIMKE</v>
      </c>
      <c r="C59" s="4" t="str">
        <f>"105X058 MM"</f>
        <v>105X058 MM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13"/>
      <c r="AD59" s="6"/>
      <c r="AE59" s="8"/>
      <c r="AF59" s="6"/>
      <c r="AG59" s="6"/>
      <c r="AH59" s="6"/>
      <c r="AI59" s="6"/>
      <c r="AJ59" s="6"/>
      <c r="AK59" s="6"/>
      <c r="AL59" s="6"/>
      <c r="AM59" s="6"/>
      <c r="AN59" s="9"/>
      <c r="AO59" s="9"/>
      <c r="AP59" s="9"/>
      <c r="AQ59" s="6"/>
      <c r="AR59" s="6"/>
      <c r="AS59" s="6"/>
      <c r="AT59" s="6"/>
      <c r="AU59" s="6"/>
      <c r="AV59" s="11">
        <f t="shared" si="2"/>
        <v>0</v>
      </c>
      <c r="AW59" s="38" t="s">
        <v>7</v>
      </c>
      <c r="AX59" s="6"/>
    </row>
    <row r="60" spans="1:53" s="4" customFormat="1" hidden="1" x14ac:dyDescent="0.2">
      <c r="A60" s="3"/>
      <c r="B60" s="4" t="str">
        <f>"ETIKETT CIMKE"</f>
        <v>ETIKETT CIMKE</v>
      </c>
      <c r="C60" s="4" t="str">
        <f>"35 MM"</f>
        <v>35 MM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13"/>
      <c r="AD60" s="6"/>
      <c r="AE60" s="8"/>
      <c r="AF60" s="6"/>
      <c r="AG60" s="6"/>
      <c r="AH60" s="6"/>
      <c r="AI60" s="6"/>
      <c r="AJ60" s="6"/>
      <c r="AK60" s="6"/>
      <c r="AL60" s="6"/>
      <c r="AM60" s="6"/>
      <c r="AN60" s="9"/>
      <c r="AO60" s="9"/>
      <c r="AP60" s="9"/>
      <c r="AQ60" s="6"/>
      <c r="AR60" s="6"/>
      <c r="AS60" s="6"/>
      <c r="AT60" s="6"/>
      <c r="AU60" s="6"/>
      <c r="AV60" s="11">
        <f t="shared" si="2"/>
        <v>0</v>
      </c>
      <c r="AW60" s="38" t="s">
        <v>7</v>
      </c>
      <c r="AX60" s="6"/>
    </row>
    <row r="61" spans="1:53" s="4" customFormat="1" hidden="1" x14ac:dyDescent="0.2">
      <c r="A61" s="3"/>
      <c r="B61" s="4" t="str">
        <f>"ETIKETT CIMKE"</f>
        <v>ETIKETT CIMKE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13"/>
      <c r="AD61" s="6"/>
      <c r="AE61" s="8"/>
      <c r="AF61" s="6"/>
      <c r="AG61" s="6"/>
      <c r="AH61" s="6"/>
      <c r="AI61" s="6"/>
      <c r="AJ61" s="6"/>
      <c r="AK61" s="6"/>
      <c r="AL61" s="6"/>
      <c r="AM61" s="6"/>
      <c r="AN61" s="9"/>
      <c r="AO61" s="9"/>
      <c r="AP61" s="9"/>
      <c r="AQ61" s="6"/>
      <c r="AR61" s="6"/>
      <c r="AS61" s="6"/>
      <c r="AT61" s="6"/>
      <c r="AU61" s="6"/>
      <c r="AV61" s="11">
        <f t="shared" si="2"/>
        <v>0</v>
      </c>
      <c r="AW61" s="38" t="s">
        <v>7</v>
      </c>
      <c r="AX61" s="6"/>
    </row>
    <row r="62" spans="1:53" s="4" customFormat="1" x14ac:dyDescent="0.2">
      <c r="A62" s="3" t="s">
        <v>37</v>
      </c>
      <c r="B62" s="4" t="s">
        <v>51</v>
      </c>
      <c r="D62" s="6">
        <v>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13"/>
      <c r="AD62" s="6"/>
      <c r="AE62" s="8"/>
      <c r="AF62" s="6"/>
      <c r="AG62" s="6"/>
      <c r="AH62" s="6"/>
      <c r="AI62" s="6"/>
      <c r="AJ62" s="6"/>
      <c r="AK62" s="6"/>
      <c r="AL62" s="6"/>
      <c r="AM62" s="6"/>
      <c r="AN62" s="9"/>
      <c r="AO62" s="9"/>
      <c r="AP62" s="9"/>
      <c r="AQ62" s="6"/>
      <c r="AR62" s="6"/>
      <c r="AS62" s="6"/>
      <c r="AT62" s="6"/>
      <c r="AU62" s="6"/>
      <c r="AV62" s="11">
        <f t="shared" si="2"/>
        <v>1</v>
      </c>
      <c r="AW62" s="38" t="s">
        <v>7</v>
      </c>
      <c r="AX62" s="6"/>
    </row>
    <row r="63" spans="1:53" x14ac:dyDescent="0.2">
      <c r="A63" s="3" t="s">
        <v>38</v>
      </c>
      <c r="B63" s="4" t="s">
        <v>53</v>
      </c>
      <c r="C63" s="4" t="s">
        <v>54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8"/>
      <c r="AD63" s="6"/>
      <c r="AE63" s="8"/>
      <c r="AF63" s="6"/>
      <c r="AG63" s="6"/>
      <c r="AH63" s="6"/>
      <c r="AI63" s="6">
        <v>1</v>
      </c>
      <c r="AJ63" s="6"/>
      <c r="AK63" s="6"/>
      <c r="AL63" s="6"/>
      <c r="AM63" s="6"/>
      <c r="AN63" s="9"/>
      <c r="AO63" s="9"/>
      <c r="AP63" s="9"/>
      <c r="AQ63" s="6"/>
      <c r="AR63" s="6"/>
      <c r="AS63" s="6"/>
      <c r="AT63" s="6"/>
      <c r="AU63" s="6"/>
      <c r="AV63" s="11">
        <f t="shared" si="2"/>
        <v>1</v>
      </c>
      <c r="AW63" s="38" t="s">
        <v>7</v>
      </c>
      <c r="AX63" s="11"/>
      <c r="AY63" s="2"/>
      <c r="AZ63" s="2"/>
      <c r="BA63" s="2"/>
    </row>
    <row r="64" spans="1:53" s="4" customFormat="1" ht="12.75" x14ac:dyDescent="0.2">
      <c r="A64" s="3" t="s">
        <v>49</v>
      </c>
      <c r="B64" s="4" t="s">
        <v>56</v>
      </c>
      <c r="C64" s="4" t="s">
        <v>57</v>
      </c>
      <c r="D64" s="6"/>
      <c r="E64" s="6"/>
      <c r="F64" s="6"/>
      <c r="G64" s="6"/>
      <c r="H64" s="6"/>
      <c r="I64" s="6">
        <v>200</v>
      </c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13"/>
      <c r="AD64" s="6"/>
      <c r="AE64" s="8"/>
      <c r="AF64" s="6"/>
      <c r="AG64" s="6"/>
      <c r="AH64" s="6"/>
      <c r="AI64" s="6"/>
      <c r="AJ64" s="6"/>
      <c r="AK64" s="6"/>
      <c r="AL64" s="6"/>
      <c r="AM64" s="6"/>
      <c r="AN64" s="6"/>
      <c r="AO64" s="9"/>
      <c r="AP64" s="9"/>
      <c r="AQ64" s="6"/>
      <c r="AR64" s="6"/>
      <c r="AS64" s="6"/>
      <c r="AT64" s="6"/>
      <c r="AU64" s="6"/>
      <c r="AV64" s="11">
        <f t="shared" si="2"/>
        <v>200</v>
      </c>
      <c r="AW64" s="38" t="s">
        <v>7</v>
      </c>
      <c r="AX64" s="6"/>
    </row>
    <row r="65" spans="1:52" s="2" customFormat="1" ht="12.75" x14ac:dyDescent="0.2">
      <c r="A65" s="3" t="s">
        <v>50</v>
      </c>
      <c r="B65" s="4" t="s">
        <v>56</v>
      </c>
      <c r="C65" s="4" t="s">
        <v>59</v>
      </c>
      <c r="D65" s="6"/>
      <c r="E65" s="6"/>
      <c r="F65" s="6">
        <v>50</v>
      </c>
      <c r="G65" s="6"/>
      <c r="H65" s="1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11">
        <f t="shared" si="2"/>
        <v>50</v>
      </c>
      <c r="AW65" s="38" t="s">
        <v>7</v>
      </c>
      <c r="AX65" s="11"/>
    </row>
    <row r="66" spans="1:52" s="4" customFormat="1" ht="12.75" hidden="1" x14ac:dyDescent="0.2">
      <c r="A66" s="3"/>
      <c r="B66" s="4" t="s">
        <v>56</v>
      </c>
      <c r="C66" s="4" t="str">
        <f>"99,1X57 MM"</f>
        <v>99,1X57 MM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11">
        <f t="shared" si="2"/>
        <v>0</v>
      </c>
      <c r="AW66" s="51"/>
      <c r="AX66" s="6"/>
    </row>
    <row r="67" spans="1:52" s="4" customFormat="1" ht="12.75" hidden="1" x14ac:dyDescent="0.2">
      <c r="A67" s="3"/>
      <c r="B67" s="4" t="s">
        <v>56</v>
      </c>
      <c r="C67" s="4" t="str">
        <f>"115X086 MM"</f>
        <v>115X086 MM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5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11">
        <f t="shared" si="2"/>
        <v>0</v>
      </c>
      <c r="AW67" s="51"/>
      <c r="AX67" s="6"/>
    </row>
    <row r="68" spans="1:52" s="4" customFormat="1" ht="12.75" hidden="1" x14ac:dyDescent="0.2">
      <c r="A68" s="3"/>
      <c r="B68" s="4" t="s">
        <v>56</v>
      </c>
      <c r="C68" s="4" t="str">
        <f>"63,5X38,1 MM"</f>
        <v>63,5X38,1 MM</v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5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1">
        <f t="shared" si="2"/>
        <v>0</v>
      </c>
      <c r="AW68" s="51"/>
      <c r="AX68" s="6"/>
    </row>
    <row r="69" spans="1:52" s="4" customFormat="1" ht="12.75" hidden="1" x14ac:dyDescent="0.2">
      <c r="A69" s="3"/>
      <c r="B69" s="4" t="s">
        <v>56</v>
      </c>
      <c r="C69" s="4" t="str">
        <f>"89,0X35,0 MM"</f>
        <v>89,0X35,0 MM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5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11">
        <f t="shared" si="2"/>
        <v>0</v>
      </c>
      <c r="AW69" s="51"/>
      <c r="AX69" s="6"/>
    </row>
    <row r="70" spans="1:52" s="4" customFormat="1" ht="12.75" hidden="1" x14ac:dyDescent="0.2">
      <c r="A70" s="3"/>
      <c r="B70" s="4" t="s">
        <v>56</v>
      </c>
      <c r="C70" s="4" t="str">
        <f>"210X148 MM"</f>
        <v>210X148 MM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5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11">
        <f t="shared" si="2"/>
        <v>0</v>
      </c>
      <c r="AW70" s="51"/>
      <c r="AX70" s="6"/>
    </row>
    <row r="71" spans="1:52" s="4" customFormat="1" ht="12.75" hidden="1" x14ac:dyDescent="0.2">
      <c r="A71" s="3"/>
      <c r="B71" s="4" t="s">
        <v>56</v>
      </c>
      <c r="C71" s="4" t="str">
        <f>"210X297 MM"</f>
        <v>210X297 MM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5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11">
        <f t="shared" si="2"/>
        <v>0</v>
      </c>
      <c r="AW71" s="51"/>
      <c r="AX71" s="6"/>
    </row>
    <row r="72" spans="1:52" s="4" customFormat="1" ht="12.75" hidden="1" x14ac:dyDescent="0.2">
      <c r="A72" s="3"/>
      <c r="B72" s="4" t="s">
        <v>56</v>
      </c>
      <c r="C72" s="4" t="str">
        <f>"PANASONIC KX-FA 54X"</f>
        <v>PANASONIC KX-FA 54X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5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11">
        <f t="shared" si="2"/>
        <v>0</v>
      </c>
      <c r="AW72" s="51"/>
      <c r="AX72" s="6"/>
    </row>
    <row r="73" spans="1:52" s="2" customFormat="1" ht="12.75" hidden="1" x14ac:dyDescent="0.2">
      <c r="A73" s="3"/>
      <c r="B73" s="4" t="s">
        <v>56</v>
      </c>
      <c r="C73" s="4" t="str">
        <f>"A/4"</f>
        <v>A/4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5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11">
        <f t="shared" si="2"/>
        <v>0</v>
      </c>
      <c r="AW73" s="38"/>
      <c r="AX73" s="11"/>
      <c r="AZ73" s="4"/>
    </row>
    <row r="74" spans="1:52" s="4" customFormat="1" ht="12.75" hidden="1" x14ac:dyDescent="0.2">
      <c r="A74" s="3"/>
      <c r="B74" s="4" t="s">
        <v>56</v>
      </c>
      <c r="C74" s="4" t="str">
        <f>"TŰZVESZÉLYES TEVÉKENYSÉG VÉGZÉSÉHEZ"</f>
        <v>TŰZVESZÉLYES TEVÉKENYSÉG VÉGZÉSÉHEZ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5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11">
        <f t="shared" si="2"/>
        <v>0</v>
      </c>
      <c r="AW74" s="51"/>
      <c r="AX74" s="6"/>
    </row>
    <row r="75" spans="1:52" s="4" customFormat="1" ht="12.75" hidden="1" x14ac:dyDescent="0.2">
      <c r="A75" s="3"/>
      <c r="B75" s="4" t="s">
        <v>56</v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5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11">
        <f t="shared" si="2"/>
        <v>0</v>
      </c>
      <c r="AW75" s="51"/>
      <c r="AX75" s="6"/>
      <c r="AZ75" s="2"/>
    </row>
    <row r="76" spans="1:52" s="2" customFormat="1" ht="12.75" hidden="1" x14ac:dyDescent="0.2">
      <c r="A76" s="3"/>
      <c r="B76" s="4" t="s">
        <v>56</v>
      </c>
      <c r="C76" s="4" t="str">
        <f>"A/4 (80 GRAMM)"</f>
        <v>A/4 (80 GRAMM)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5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11">
        <f t="shared" si="2"/>
        <v>0</v>
      </c>
      <c r="AW76" s="38"/>
      <c r="AX76" s="11"/>
    </row>
    <row r="77" spans="1:52" s="2" customFormat="1" ht="12.75" hidden="1" x14ac:dyDescent="0.2">
      <c r="A77" s="3"/>
      <c r="B77" s="4" t="s">
        <v>56</v>
      </c>
      <c r="C77" s="4" t="str">
        <f>"A/4"</f>
        <v>A/4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5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11">
        <f t="shared" si="2"/>
        <v>0</v>
      </c>
      <c r="AW77" s="38"/>
      <c r="AX77" s="11"/>
    </row>
    <row r="78" spans="1:52" s="2" customFormat="1" ht="12.75" hidden="1" x14ac:dyDescent="0.2">
      <c r="A78" s="3"/>
      <c r="B78" s="4" t="s">
        <v>56</v>
      </c>
      <c r="C78" s="4" t="str">
        <f>"A/4 (80 GRAMM)"</f>
        <v>A/4 (80 GRAMM)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5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11">
        <f t="shared" si="2"/>
        <v>0</v>
      </c>
      <c r="AW78" s="38"/>
      <c r="AX78" s="11"/>
    </row>
    <row r="79" spans="1:52" s="2" customFormat="1" ht="12.75" hidden="1" x14ac:dyDescent="0.2">
      <c r="A79" s="3"/>
      <c r="B79" s="4" t="s">
        <v>56</v>
      </c>
      <c r="C79" s="4" t="str">
        <f>"A/3 (80 GRAMM)"</f>
        <v>A/3 (80 GRAMM)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5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11">
        <f t="shared" si="2"/>
        <v>0</v>
      </c>
      <c r="AW79" s="38"/>
      <c r="AX79" s="11"/>
    </row>
    <row r="80" spans="1:52" s="2" customFormat="1" ht="12.75" hidden="1" x14ac:dyDescent="0.2">
      <c r="A80" s="3"/>
      <c r="B80" s="4" t="s">
        <v>56</v>
      </c>
      <c r="C80" s="4" t="str">
        <f>"A/4 (80 GRAMM)"</f>
        <v>A/4 (80 GRAMM)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5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11">
        <f t="shared" si="2"/>
        <v>0</v>
      </c>
      <c r="AW80" s="38"/>
      <c r="AX80" s="11"/>
    </row>
    <row r="81" spans="1:52" s="4" customFormat="1" ht="12.75" x14ac:dyDescent="0.2">
      <c r="A81" s="3" t="s">
        <v>52</v>
      </c>
      <c r="B81" s="4" t="s">
        <v>56</v>
      </c>
      <c r="C81" s="4" t="s">
        <v>61</v>
      </c>
      <c r="D81" s="6"/>
      <c r="E81" s="6"/>
      <c r="F81" s="6">
        <v>50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5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>
        <v>200</v>
      </c>
      <c r="AO81" s="6"/>
      <c r="AP81" s="6"/>
      <c r="AQ81" s="6"/>
      <c r="AR81" s="6"/>
      <c r="AS81" s="6"/>
      <c r="AT81" s="6">
        <v>25</v>
      </c>
      <c r="AU81" s="6"/>
      <c r="AV81" s="11">
        <f t="shared" si="2"/>
        <v>275</v>
      </c>
      <c r="AW81" s="38" t="s">
        <v>7</v>
      </c>
      <c r="AX81" s="6"/>
    </row>
    <row r="82" spans="1:52" s="4" customFormat="1" ht="12.75" hidden="1" x14ac:dyDescent="0.2">
      <c r="A82" s="3"/>
      <c r="B82" s="4" t="s">
        <v>56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5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11">
        <f t="shared" ref="AV82:AV133" si="4">SUM(D82:AU82)</f>
        <v>0</v>
      </c>
      <c r="AW82" s="51"/>
      <c r="AX82" s="6"/>
    </row>
    <row r="83" spans="1:52" s="4" customFormat="1" ht="12.75" hidden="1" x14ac:dyDescent="0.2">
      <c r="A83" s="3"/>
      <c r="B83" s="4" t="s">
        <v>56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5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11">
        <f t="shared" si="4"/>
        <v>0</v>
      </c>
      <c r="AW83" s="51"/>
      <c r="AX83" s="6"/>
    </row>
    <row r="84" spans="1:52" s="4" customFormat="1" ht="12.75" hidden="1" x14ac:dyDescent="0.2">
      <c r="A84" s="3"/>
      <c r="B84" s="4" t="s">
        <v>56</v>
      </c>
      <c r="C84" s="4" t="str">
        <f>"SHARP ASZTALI SZÁMOLÓGÉPHEZ"</f>
        <v>SHARP ASZTALI SZÁMOLÓGÉPHEZ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5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11">
        <f t="shared" si="4"/>
        <v>0</v>
      </c>
      <c r="AW84" s="51"/>
      <c r="AX84" s="6"/>
    </row>
    <row r="85" spans="1:52" s="4" customFormat="1" ht="12.75" hidden="1" x14ac:dyDescent="0.2">
      <c r="A85" s="3"/>
      <c r="B85" s="4" t="s">
        <v>56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11">
        <f t="shared" si="4"/>
        <v>0</v>
      </c>
      <c r="AW85" s="51"/>
      <c r="AX85" s="6"/>
    </row>
    <row r="86" spans="1:52" s="4" customFormat="1" ht="12.75" hidden="1" x14ac:dyDescent="0.2">
      <c r="A86" s="3"/>
      <c r="B86" s="4" t="s">
        <v>56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5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11">
        <f t="shared" si="4"/>
        <v>0</v>
      </c>
      <c r="AW86" s="51"/>
      <c r="AX86" s="6"/>
    </row>
    <row r="87" spans="1:52" s="4" customFormat="1" ht="12.75" hidden="1" x14ac:dyDescent="0.2">
      <c r="A87" s="3"/>
      <c r="B87" s="4" t="s">
        <v>56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5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11">
        <f t="shared" si="4"/>
        <v>0</v>
      </c>
      <c r="AW87" s="51"/>
      <c r="AX87" s="6"/>
    </row>
    <row r="88" spans="1:52" s="4" customFormat="1" ht="12.75" hidden="1" x14ac:dyDescent="0.2">
      <c r="A88" s="3"/>
      <c r="B88" s="4" t="s">
        <v>56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5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11">
        <f t="shared" si="4"/>
        <v>0</v>
      </c>
      <c r="AW88" s="51"/>
      <c r="AX88" s="6"/>
    </row>
    <row r="89" spans="1:52" s="4" customFormat="1" ht="12.75" hidden="1" x14ac:dyDescent="0.2">
      <c r="A89" s="3"/>
      <c r="B89" s="4" t="s">
        <v>56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5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11">
        <f t="shared" si="4"/>
        <v>0</v>
      </c>
      <c r="AW89" s="51"/>
      <c r="AX89" s="6"/>
      <c r="AZ89" s="2"/>
    </row>
    <row r="90" spans="1:52" s="2" customFormat="1" ht="12.75" hidden="1" x14ac:dyDescent="0.2">
      <c r="A90" s="3"/>
      <c r="B90" s="4" t="s">
        <v>56</v>
      </c>
      <c r="C90" s="4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5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11">
        <f t="shared" si="4"/>
        <v>0</v>
      </c>
      <c r="AW90" s="38"/>
      <c r="AX90" s="11"/>
    </row>
    <row r="91" spans="1:52" s="2" customFormat="1" ht="12.75" hidden="1" x14ac:dyDescent="0.2">
      <c r="A91" s="3"/>
      <c r="B91" s="4" t="s">
        <v>56</v>
      </c>
      <c r="C91" s="4" t="str">
        <f>"A/4 (102GR/M2) 100DB-OS"</f>
        <v>A/4 (102GR/M2) 100DB-OS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5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11">
        <f t="shared" si="4"/>
        <v>0</v>
      </c>
      <c r="AW91" s="38"/>
      <c r="AX91" s="11"/>
    </row>
    <row r="92" spans="1:52" s="2" customFormat="1" ht="12.75" hidden="1" x14ac:dyDescent="0.2">
      <c r="A92" s="3"/>
      <c r="B92" s="4" t="s">
        <v>56</v>
      </c>
      <c r="C92" s="4" t="str">
        <f>"A/4"</f>
        <v>A/4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5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11">
        <f t="shared" si="4"/>
        <v>0</v>
      </c>
      <c r="AW92" s="38"/>
      <c r="AX92" s="11"/>
    </row>
    <row r="93" spans="1:52" s="2" customFormat="1" ht="12.75" hidden="1" x14ac:dyDescent="0.2">
      <c r="A93" s="3"/>
      <c r="B93" s="4" t="s">
        <v>56</v>
      </c>
      <c r="C93" s="4" t="str">
        <f>"A/4"</f>
        <v>A/4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5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11">
        <f t="shared" si="4"/>
        <v>0</v>
      </c>
      <c r="AW93" s="38"/>
      <c r="AX93" s="11"/>
    </row>
    <row r="94" spans="1:52" s="2" customFormat="1" ht="12.75" hidden="1" x14ac:dyDescent="0.2">
      <c r="A94" s="3"/>
      <c r="B94" s="4" t="s">
        <v>56</v>
      </c>
      <c r="C94" s="4" t="str">
        <f>"A/3"</f>
        <v>A/3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5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11">
        <f t="shared" si="4"/>
        <v>0</v>
      </c>
      <c r="AW94" s="38"/>
      <c r="AX94" s="11"/>
    </row>
    <row r="95" spans="1:52" s="2" customFormat="1" ht="12.75" hidden="1" x14ac:dyDescent="0.2">
      <c r="A95" s="3"/>
      <c r="B95" s="4" t="s">
        <v>56</v>
      </c>
      <c r="C95" s="4" t="str">
        <f>"A/4"</f>
        <v>A/4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5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11">
        <f t="shared" si="4"/>
        <v>0</v>
      </c>
      <c r="AW95" s="38"/>
      <c r="AX95" s="11"/>
      <c r="AZ95" s="4"/>
    </row>
    <row r="96" spans="1:52" s="2" customFormat="1" ht="12.75" x14ac:dyDescent="0.2">
      <c r="A96" s="3" t="s">
        <v>55</v>
      </c>
      <c r="B96" s="4" t="s">
        <v>56</v>
      </c>
      <c r="C96" s="4" t="s">
        <v>63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5</v>
      </c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5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11">
        <f t="shared" si="4"/>
        <v>5</v>
      </c>
      <c r="AW96" s="38" t="s">
        <v>7</v>
      </c>
      <c r="AX96" s="11"/>
    </row>
    <row r="97" spans="1:50" s="2" customFormat="1" hidden="1" x14ac:dyDescent="0.2">
      <c r="A97" s="3"/>
      <c r="B97" s="4" t="str">
        <f>"DOSSZIÉ (MŰANYAG HÁTLAPOS) TOVÁBB FŰZŐS"</f>
        <v>DOSSZIÉ (MŰANYAG HÁTLAPOS) TOVÁBB FŰZŐS</v>
      </c>
      <c r="C97" s="4" t="str">
        <f>"A/4"</f>
        <v>A/4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5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11">
        <f t="shared" si="4"/>
        <v>0</v>
      </c>
      <c r="AW97" s="38" t="s">
        <v>7</v>
      </c>
      <c r="AX97" s="11"/>
    </row>
    <row r="98" spans="1:50" s="2" customFormat="1" x14ac:dyDescent="0.2">
      <c r="A98" s="3" t="s">
        <v>58</v>
      </c>
      <c r="B98" s="4" t="str">
        <f>"DOSSZIÉ (PAPÍR) FŰZŐS"</f>
        <v>DOSSZIÉ (PAPÍR) FŰZŐS</v>
      </c>
      <c r="C98" s="4" t="str">
        <f>"A/4"</f>
        <v>A/4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5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>
        <v>5</v>
      </c>
      <c r="AR98" s="6">
        <v>5</v>
      </c>
      <c r="AS98" s="6"/>
      <c r="AT98" s="6">
        <v>10</v>
      </c>
      <c r="AU98" s="6"/>
      <c r="AV98" s="11">
        <f t="shared" si="4"/>
        <v>20</v>
      </c>
      <c r="AW98" s="38" t="s">
        <v>7</v>
      </c>
      <c r="AX98" s="11"/>
    </row>
    <row r="99" spans="1:50" s="2" customFormat="1" x14ac:dyDescent="0.2">
      <c r="A99" s="3" t="s">
        <v>60</v>
      </c>
      <c r="B99" s="4" t="str">
        <f>"DOSSZIÉ (PAPÍR) PÓLYÁS-HAJTOGATÓS"</f>
        <v>DOSSZIÉ (PAPÍR) PÓLYÁS-HAJTOGATÓS</v>
      </c>
      <c r="C99" s="4" t="str">
        <f>"A/4"</f>
        <v>A/4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>
        <v>10</v>
      </c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5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>
        <v>2</v>
      </c>
      <c r="AR99" s="6">
        <v>2</v>
      </c>
      <c r="AS99" s="6"/>
      <c r="AT99" s="6">
        <v>10</v>
      </c>
      <c r="AU99" s="6"/>
      <c r="AV99" s="11">
        <f t="shared" si="4"/>
        <v>24</v>
      </c>
      <c r="AW99" s="38" t="s">
        <v>7</v>
      </c>
      <c r="AX99" s="11"/>
    </row>
    <row r="100" spans="1:50" s="2" customFormat="1" x14ac:dyDescent="0.2">
      <c r="A100" s="3" t="s">
        <v>62</v>
      </c>
      <c r="B100" s="2" t="s">
        <v>67</v>
      </c>
      <c r="C100" s="2" t="s">
        <v>68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>
        <v>5</v>
      </c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5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11">
        <f t="shared" si="4"/>
        <v>5</v>
      </c>
      <c r="AW100" s="38" t="s">
        <v>7</v>
      </c>
      <c r="AX100" s="11"/>
    </row>
    <row r="101" spans="1:50" s="2" customFormat="1" hidden="1" x14ac:dyDescent="0.2">
      <c r="A101" s="3"/>
      <c r="B101" s="4" t="str">
        <f>"GÉMKAPOCS TARTÓ"</f>
        <v>GÉMKAPOCS TARTÓ</v>
      </c>
      <c r="C101" s="4" t="str">
        <f>"MÁGNESES"</f>
        <v>MÁGNESES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5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11">
        <f t="shared" si="4"/>
        <v>0</v>
      </c>
      <c r="AW101" s="38" t="s">
        <v>7</v>
      </c>
      <c r="AX101" s="11"/>
    </row>
    <row r="102" spans="1:50" s="2" customFormat="1" hidden="1" x14ac:dyDescent="0.2">
      <c r="A102" s="3"/>
      <c r="B102" s="4" t="str">
        <f>"GENOTHERMA (FÜLES)"</f>
        <v>GENOTHERMA (FÜLES)</v>
      </c>
      <c r="C102" s="4" t="str">
        <f>"A/4"</f>
        <v>A/4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5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11">
        <f t="shared" si="4"/>
        <v>0</v>
      </c>
      <c r="AW102" s="38" t="s">
        <v>7</v>
      </c>
      <c r="AX102" s="11"/>
    </row>
    <row r="103" spans="1:50" s="2" customFormat="1" x14ac:dyDescent="0.2">
      <c r="A103" s="3" t="s">
        <v>64</v>
      </c>
      <c r="B103" s="4" t="s">
        <v>70</v>
      </c>
      <c r="C103" s="4" t="s">
        <v>71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>
        <v>10</v>
      </c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11">
        <f t="shared" si="4"/>
        <v>10</v>
      </c>
      <c r="AW103" s="51" t="s">
        <v>72</v>
      </c>
      <c r="AX103" s="11"/>
    </row>
    <row r="104" spans="1:50" s="4" customFormat="1" hidden="1" x14ac:dyDescent="0.2">
      <c r="A104" s="3" t="s">
        <v>73</v>
      </c>
      <c r="B104" s="4" t="s">
        <v>74</v>
      </c>
      <c r="C104" s="4" t="str">
        <f>"A/4"</f>
        <v>A/4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5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11">
        <f t="shared" si="4"/>
        <v>0</v>
      </c>
      <c r="AW104" s="51" t="s">
        <v>72</v>
      </c>
      <c r="AX104" s="6"/>
    </row>
    <row r="105" spans="1:50" s="4" customFormat="1" hidden="1" x14ac:dyDescent="0.2">
      <c r="A105" s="3" t="s">
        <v>75</v>
      </c>
      <c r="B105" s="4" t="s">
        <v>76</v>
      </c>
      <c r="C105" s="4" t="str">
        <f>"A/4"</f>
        <v>A/4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11">
        <f t="shared" si="4"/>
        <v>0</v>
      </c>
      <c r="AW105" s="51" t="s">
        <v>72</v>
      </c>
      <c r="AX105" s="6"/>
    </row>
    <row r="106" spans="1:50" s="4" customFormat="1" hidden="1" x14ac:dyDescent="0.2">
      <c r="A106" s="3" t="s">
        <v>77</v>
      </c>
      <c r="B106" s="4" t="s">
        <v>78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5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11">
        <f t="shared" si="4"/>
        <v>0</v>
      </c>
      <c r="AW106" s="51" t="s">
        <v>72</v>
      </c>
      <c r="AX106" s="6"/>
    </row>
    <row r="107" spans="1:50" s="4" customFormat="1" hidden="1" x14ac:dyDescent="0.2">
      <c r="A107" s="3" t="s">
        <v>79</v>
      </c>
      <c r="B107" s="4" t="s">
        <v>80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5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11">
        <f t="shared" si="4"/>
        <v>0</v>
      </c>
      <c r="AW107" s="51" t="s">
        <v>72</v>
      </c>
      <c r="AX107" s="6"/>
    </row>
    <row r="108" spans="1:50" s="4" customFormat="1" hidden="1" x14ac:dyDescent="0.2">
      <c r="A108" s="3" t="s">
        <v>81</v>
      </c>
      <c r="B108" s="4" t="s">
        <v>82</v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5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11">
        <f t="shared" si="4"/>
        <v>0</v>
      </c>
      <c r="AW108" s="51" t="s">
        <v>72</v>
      </c>
      <c r="AX108" s="6"/>
    </row>
    <row r="109" spans="1:50" s="4" customFormat="1" hidden="1" x14ac:dyDescent="0.2">
      <c r="A109" s="3" t="s">
        <v>83</v>
      </c>
      <c r="B109" s="4" t="s">
        <v>84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5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11">
        <f t="shared" si="4"/>
        <v>0</v>
      </c>
      <c r="AW109" s="51" t="s">
        <v>72</v>
      </c>
      <c r="AX109" s="6"/>
    </row>
    <row r="110" spans="1:50" s="4" customFormat="1" hidden="1" x14ac:dyDescent="0.2">
      <c r="A110" s="3" t="s">
        <v>85</v>
      </c>
      <c r="B110" s="4" t="s">
        <v>86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5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11">
        <f t="shared" si="4"/>
        <v>0</v>
      </c>
      <c r="AW110" s="51" t="s">
        <v>72</v>
      </c>
      <c r="AX110" s="6"/>
    </row>
    <row r="111" spans="1:50" s="4" customFormat="1" hidden="1" x14ac:dyDescent="0.2">
      <c r="A111" s="3" t="s">
        <v>87</v>
      </c>
      <c r="B111" s="4" t="s">
        <v>88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5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11">
        <f t="shared" si="4"/>
        <v>0</v>
      </c>
      <c r="AW111" s="51" t="s">
        <v>72</v>
      </c>
      <c r="AX111" s="6"/>
    </row>
    <row r="112" spans="1:50" s="4" customFormat="1" x14ac:dyDescent="0.2">
      <c r="A112" s="3" t="s">
        <v>65</v>
      </c>
      <c r="B112" s="4" t="s">
        <v>89</v>
      </c>
      <c r="C112" s="4" t="s">
        <v>90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>
        <v>10</v>
      </c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5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11">
        <f t="shared" si="4"/>
        <v>10</v>
      </c>
      <c r="AW112" s="51" t="s">
        <v>72</v>
      </c>
      <c r="AX112" s="6"/>
    </row>
    <row r="113" spans="1:52" s="4" customFormat="1" x14ac:dyDescent="0.2">
      <c r="A113" s="3" t="s">
        <v>66</v>
      </c>
      <c r="B113" s="4" t="s">
        <v>91</v>
      </c>
      <c r="C113" s="1" t="s">
        <v>92</v>
      </c>
      <c r="D113" s="6"/>
      <c r="E113" s="6"/>
      <c r="F113" s="6"/>
      <c r="G113" s="6"/>
      <c r="H113" s="6"/>
      <c r="I113" s="6">
        <v>50</v>
      </c>
      <c r="J113" s="6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5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11">
        <f t="shared" si="4"/>
        <v>50</v>
      </c>
      <c r="AW113" s="51" t="s">
        <v>72</v>
      </c>
      <c r="AX113" s="6"/>
    </row>
    <row r="114" spans="1:52" s="4" customFormat="1" hidden="1" x14ac:dyDescent="0.2">
      <c r="A114" s="3"/>
      <c r="B114" s="4" t="str">
        <f t="shared" ref="B114:B118" si="5">"GOLYÓSTOLL BETÉT"</f>
        <v>GOLYÓSTOLL BETÉT</v>
      </c>
      <c r="C114" s="4" t="str">
        <f>"HANDY"</f>
        <v>HANDY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5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11">
        <f t="shared" si="4"/>
        <v>0</v>
      </c>
      <c r="AW114" s="38" t="s">
        <v>7</v>
      </c>
      <c r="AX114" s="6"/>
    </row>
    <row r="115" spans="1:52" s="4" customFormat="1" hidden="1" x14ac:dyDescent="0.2">
      <c r="A115" s="3"/>
      <c r="B115" s="4" t="str">
        <f t="shared" si="5"/>
        <v>GOLYÓSTOLL BETÉT</v>
      </c>
      <c r="C115" s="4" t="str">
        <f>"PARKER"</f>
        <v>PARKER</v>
      </c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6"/>
      <c r="AC115" s="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11">
        <f t="shared" si="4"/>
        <v>0</v>
      </c>
      <c r="AW115" s="38" t="s">
        <v>7</v>
      </c>
      <c r="AX115" s="6"/>
    </row>
    <row r="116" spans="1:52" s="4" customFormat="1" hidden="1" x14ac:dyDescent="0.2">
      <c r="A116" s="3"/>
      <c r="B116" s="4" t="str">
        <f t="shared" si="5"/>
        <v>GOLYÓSTOLL BETÉT</v>
      </c>
      <c r="C116" s="4" t="str">
        <f>"PAX"</f>
        <v>PAX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6"/>
      <c r="AC116" s="5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11">
        <f t="shared" si="4"/>
        <v>0</v>
      </c>
      <c r="AW116" s="38" t="s">
        <v>7</v>
      </c>
      <c r="AX116" s="6"/>
    </row>
    <row r="117" spans="1:52" s="4" customFormat="1" hidden="1" x14ac:dyDescent="0.2">
      <c r="A117" s="3"/>
      <c r="B117" s="4" t="str">
        <f t="shared" si="5"/>
        <v>GOLYÓSTOLL BETÉT</v>
      </c>
      <c r="C117" s="4" t="str">
        <f>"PENAC (RB 98C 07)"</f>
        <v>PENAC (RB 98C 07)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6"/>
      <c r="AC117" s="5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11">
        <f t="shared" si="4"/>
        <v>0</v>
      </c>
      <c r="AW117" s="38" t="s">
        <v>7</v>
      </c>
      <c r="AX117" s="6"/>
    </row>
    <row r="118" spans="1:52" s="4" customFormat="1" hidden="1" x14ac:dyDescent="0.2">
      <c r="A118" s="3"/>
      <c r="B118" s="4" t="str">
        <f t="shared" si="5"/>
        <v>GOLYÓSTOLL BETÉT</v>
      </c>
      <c r="C118" s="4" t="str">
        <f>"PILOT"</f>
        <v>PILOT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  <c r="W118" s="6"/>
      <c r="X118" s="6"/>
      <c r="Y118" s="6"/>
      <c r="Z118" s="6"/>
      <c r="AA118" s="6"/>
      <c r="AB118" s="6"/>
      <c r="AC118" s="5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11">
        <f t="shared" si="4"/>
        <v>0</v>
      </c>
      <c r="AW118" s="38" t="s">
        <v>7</v>
      </c>
      <c r="AX118" s="6"/>
    </row>
    <row r="119" spans="1:52" s="2" customFormat="1" x14ac:dyDescent="0.2">
      <c r="A119" s="3" t="s">
        <v>69</v>
      </c>
      <c r="B119" s="4" t="s">
        <v>98</v>
      </c>
      <c r="C119" s="4" t="s">
        <v>93</v>
      </c>
      <c r="D119" s="6">
        <v>2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6"/>
      <c r="Y119" s="6"/>
      <c r="Z119" s="6"/>
      <c r="AA119" s="6"/>
      <c r="AB119" s="6"/>
      <c r="AC119" s="5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11">
        <f t="shared" si="4"/>
        <v>2</v>
      </c>
      <c r="AW119" s="38" t="s">
        <v>7</v>
      </c>
      <c r="AX119" s="11"/>
    </row>
    <row r="120" spans="1:52" s="4" customFormat="1" hidden="1" x14ac:dyDescent="0.2">
      <c r="A120" s="3"/>
      <c r="B120" s="4" t="str">
        <f>"GOLYÓSTOLL BETÉT"</f>
        <v>GOLYÓSTOLL BETÉT</v>
      </c>
      <c r="C120" s="4" t="str">
        <f>"RÉZ"</f>
        <v>RÉZ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7"/>
      <c r="T120" s="6"/>
      <c r="U120" s="6"/>
      <c r="V120" s="6"/>
      <c r="W120" s="6"/>
      <c r="X120" s="6"/>
      <c r="Y120" s="6"/>
      <c r="Z120" s="6"/>
      <c r="AA120" s="6"/>
      <c r="AB120" s="6"/>
      <c r="AC120" s="5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11">
        <f t="shared" si="4"/>
        <v>0</v>
      </c>
      <c r="AW120" s="38" t="s">
        <v>7</v>
      </c>
      <c r="AX120" s="6"/>
      <c r="AZ120" s="2"/>
    </row>
    <row r="121" spans="1:52" s="2" customFormat="1" hidden="1" x14ac:dyDescent="0.2">
      <c r="A121" s="3"/>
      <c r="B121" s="4" t="str">
        <f>"GOLYÓSTOLL BETÉT"</f>
        <v>GOLYÓSTOLL BETÉT</v>
      </c>
      <c r="C121" s="4" t="str">
        <f>"X-20"</f>
        <v>X-20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6"/>
      <c r="W121" s="6"/>
      <c r="X121" s="6"/>
      <c r="Y121" s="6"/>
      <c r="Z121" s="6"/>
      <c r="AA121" s="6"/>
      <c r="AB121" s="6"/>
      <c r="AC121" s="5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11">
        <f t="shared" si="4"/>
        <v>0</v>
      </c>
      <c r="AW121" s="38" t="s">
        <v>7</v>
      </c>
      <c r="AX121" s="11"/>
      <c r="AZ121" s="4"/>
    </row>
    <row r="122" spans="1:52" s="33" customFormat="1" x14ac:dyDescent="0.2">
      <c r="A122" s="27" t="s">
        <v>73</v>
      </c>
      <c r="B122" s="28" t="s">
        <v>100</v>
      </c>
      <c r="C122" s="28" t="s">
        <v>93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  <c r="T122" s="29"/>
      <c r="U122" s="29"/>
      <c r="V122" s="29"/>
      <c r="W122" s="29"/>
      <c r="X122" s="29"/>
      <c r="Y122" s="29"/>
      <c r="Z122" s="29"/>
      <c r="AA122" s="29"/>
      <c r="AB122" s="29"/>
      <c r="AC122" s="31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>
        <v>6</v>
      </c>
      <c r="AU122" s="29"/>
      <c r="AV122" s="32">
        <f t="shared" si="4"/>
        <v>6</v>
      </c>
      <c r="AW122" s="38" t="s">
        <v>7</v>
      </c>
      <c r="AX122" s="32"/>
    </row>
    <row r="123" spans="1:52" s="4" customFormat="1" hidden="1" x14ac:dyDescent="0.2">
      <c r="A123" s="3"/>
      <c r="B123" s="4" t="str">
        <f>"GOLYÓSTOLL BETÉT (ZSELÉS)"</f>
        <v>GOLYÓSTOLL BETÉT (ZSELÉS)</v>
      </c>
      <c r="C123" s="4" t="str">
        <f>"PARKER"</f>
        <v>PARKER</v>
      </c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7"/>
      <c r="T123" s="6"/>
      <c r="U123" s="6"/>
      <c r="V123" s="6"/>
      <c r="W123" s="6"/>
      <c r="X123" s="6"/>
      <c r="Y123" s="6"/>
      <c r="Z123" s="6"/>
      <c r="AA123" s="6"/>
      <c r="AB123" s="6"/>
      <c r="AC123" s="5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11">
        <f t="shared" si="4"/>
        <v>0</v>
      </c>
      <c r="AW123" s="38" t="s">
        <v>7</v>
      </c>
      <c r="AX123" s="6"/>
    </row>
    <row r="124" spans="1:52" s="4" customFormat="1" hidden="1" x14ac:dyDescent="0.2">
      <c r="A124" s="3"/>
      <c r="B124" s="4" t="str">
        <f>"GYORS MASNI"</f>
        <v>GYORS MASNI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7"/>
      <c r="T124" s="6"/>
      <c r="U124" s="6"/>
      <c r="V124" s="6"/>
      <c r="W124" s="6"/>
      <c r="X124" s="6"/>
      <c r="Y124" s="6"/>
      <c r="Z124" s="6"/>
      <c r="AA124" s="6"/>
      <c r="AB124" s="6"/>
      <c r="AC124" s="5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11">
        <f t="shared" si="4"/>
        <v>0</v>
      </c>
      <c r="AW124" s="38" t="s">
        <v>7</v>
      </c>
      <c r="AX124" s="6"/>
    </row>
    <row r="125" spans="1:52" s="4" customFormat="1" x14ac:dyDescent="0.2">
      <c r="A125" s="3" t="s">
        <v>75</v>
      </c>
      <c r="B125" s="4" t="str">
        <f>"FÜZET (KOCKÁS)"</f>
        <v>FÜZET (KOCKÁS)</v>
      </c>
      <c r="C125" s="4" t="str">
        <f>"A/4"</f>
        <v>A/4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6"/>
      <c r="W125" s="6"/>
      <c r="X125" s="6"/>
      <c r="Y125" s="6"/>
      <c r="Z125" s="6"/>
      <c r="AA125" s="6"/>
      <c r="AB125" s="6"/>
      <c r="AC125" s="5"/>
      <c r="AD125" s="6"/>
      <c r="AE125" s="6"/>
      <c r="AF125" s="6"/>
      <c r="AG125" s="6">
        <v>2</v>
      </c>
      <c r="AH125" s="6">
        <v>2</v>
      </c>
      <c r="AI125" s="6">
        <v>2</v>
      </c>
      <c r="AJ125" s="6">
        <v>2</v>
      </c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11">
        <f t="shared" si="4"/>
        <v>8</v>
      </c>
      <c r="AW125" s="38" t="s">
        <v>7</v>
      </c>
      <c r="AX125" s="6"/>
    </row>
    <row r="126" spans="1:52" s="4" customFormat="1" x14ac:dyDescent="0.2">
      <c r="A126" s="3" t="s">
        <v>77</v>
      </c>
      <c r="B126" s="4" t="str">
        <f>"FÜZET (KOCKÁS)"</f>
        <v>FÜZET (KOCKÁS)</v>
      </c>
      <c r="C126" s="4" t="s">
        <v>103</v>
      </c>
      <c r="D126" s="6"/>
      <c r="E126" s="6"/>
      <c r="F126" s="6">
        <v>10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>
        <v>1</v>
      </c>
      <c r="S126" s="7"/>
      <c r="T126" s="6"/>
      <c r="U126" s="6"/>
      <c r="V126" s="6"/>
      <c r="W126" s="6"/>
      <c r="X126" s="6"/>
      <c r="Y126" s="6"/>
      <c r="Z126" s="6"/>
      <c r="AA126" s="6"/>
      <c r="AB126" s="6"/>
      <c r="AC126" s="5"/>
      <c r="AD126" s="6"/>
      <c r="AE126" s="6"/>
      <c r="AF126" s="6"/>
      <c r="AG126" s="6">
        <v>2</v>
      </c>
      <c r="AH126" s="6">
        <v>2</v>
      </c>
      <c r="AI126" s="6">
        <v>2</v>
      </c>
      <c r="AJ126" s="6">
        <v>2</v>
      </c>
      <c r="AK126" s="6"/>
      <c r="AL126" s="6">
        <v>1</v>
      </c>
      <c r="AM126" s="6">
        <v>1</v>
      </c>
      <c r="AN126" s="6"/>
      <c r="AO126" s="6"/>
      <c r="AP126" s="6"/>
      <c r="AQ126" s="6"/>
      <c r="AR126" s="6"/>
      <c r="AS126" s="6"/>
      <c r="AT126" s="6"/>
      <c r="AU126" s="6"/>
      <c r="AV126" s="11">
        <f t="shared" si="4"/>
        <v>21</v>
      </c>
      <c r="AW126" s="38" t="s">
        <v>7</v>
      </c>
      <c r="AX126" s="6"/>
    </row>
    <row r="127" spans="1:52" s="4" customFormat="1" x14ac:dyDescent="0.2">
      <c r="A127" s="3" t="s">
        <v>79</v>
      </c>
      <c r="B127" s="4" t="s">
        <v>105</v>
      </c>
      <c r="C127" s="4" t="str">
        <f>"A/4"</f>
        <v>A/4</v>
      </c>
      <c r="D127" s="6">
        <v>3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  <c r="T127" s="6"/>
      <c r="U127" s="6"/>
      <c r="V127" s="6"/>
      <c r="W127" s="6"/>
      <c r="X127" s="6"/>
      <c r="Y127" s="6"/>
      <c r="Z127" s="6"/>
      <c r="AA127" s="6"/>
      <c r="AB127" s="6"/>
      <c r="AC127" s="5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11">
        <f t="shared" si="4"/>
        <v>3</v>
      </c>
      <c r="AW127" s="38" t="s">
        <v>7</v>
      </c>
      <c r="AX127" s="6"/>
    </row>
    <row r="128" spans="1:52" s="2" customFormat="1" x14ac:dyDescent="0.2">
      <c r="A128" s="3" t="s">
        <v>81</v>
      </c>
      <c r="B128" s="4" t="s">
        <v>107</v>
      </c>
      <c r="C128" s="4" t="str">
        <f>"A/4"</f>
        <v>A/4</v>
      </c>
      <c r="D128" s="6">
        <v>3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/>
      <c r="T128" s="6"/>
      <c r="U128" s="6"/>
      <c r="V128" s="6"/>
      <c r="W128" s="6"/>
      <c r="X128" s="6"/>
      <c r="Y128" s="6"/>
      <c r="Z128" s="6"/>
      <c r="AA128" s="6"/>
      <c r="AB128" s="6"/>
      <c r="AC128" s="5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11">
        <f t="shared" si="4"/>
        <v>3</v>
      </c>
      <c r="AW128" s="38" t="s">
        <v>7</v>
      </c>
      <c r="AX128" s="11"/>
    </row>
    <row r="129" spans="1:52" s="4" customFormat="1" hidden="1" x14ac:dyDescent="0.2">
      <c r="A129" s="3"/>
      <c r="B129" s="4" t="str">
        <f>"GYURMA"</f>
        <v>GYURMA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7"/>
      <c r="T129" s="6"/>
      <c r="U129" s="6"/>
      <c r="V129" s="6"/>
      <c r="W129" s="6"/>
      <c r="X129" s="6"/>
      <c r="Y129" s="6"/>
      <c r="Z129" s="6"/>
      <c r="AA129" s="6"/>
      <c r="AB129" s="6"/>
      <c r="AC129" s="5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11">
        <f t="shared" si="4"/>
        <v>0</v>
      </c>
      <c r="AW129" s="38" t="s">
        <v>7</v>
      </c>
      <c r="AX129" s="6"/>
      <c r="AZ129" s="2"/>
    </row>
    <row r="130" spans="1:52" s="2" customFormat="1" hidden="1" x14ac:dyDescent="0.2">
      <c r="A130" s="3"/>
      <c r="B130" s="4" t="str">
        <f>"GYŰRŰSKÖNYV"</f>
        <v>GYŰRŰSKÖNYV</v>
      </c>
      <c r="C130" s="4" t="str">
        <f>"A/5"</f>
        <v>A/5</v>
      </c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7"/>
      <c r="T130" s="6"/>
      <c r="U130" s="6"/>
      <c r="V130" s="6"/>
      <c r="W130" s="6"/>
      <c r="X130" s="6"/>
      <c r="Y130" s="6"/>
      <c r="Z130" s="6"/>
      <c r="AA130" s="6"/>
      <c r="AB130" s="6"/>
      <c r="AC130" s="5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11">
        <f t="shared" si="4"/>
        <v>0</v>
      </c>
      <c r="AW130" s="38" t="s">
        <v>7</v>
      </c>
      <c r="AX130" s="11"/>
      <c r="AZ130" s="4"/>
    </row>
    <row r="131" spans="1:52" s="4" customFormat="1" hidden="1" x14ac:dyDescent="0.2">
      <c r="A131" s="3"/>
      <c r="B131" s="4" t="str">
        <f>"HATÁRIDŐNAPLÓ A/5"</f>
        <v>HATÁRIDŐNAPLÓ A/5</v>
      </c>
      <c r="C131" s="4" t="str">
        <f>"3101"</f>
        <v>3101</v>
      </c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7"/>
      <c r="T131" s="6"/>
      <c r="U131" s="6"/>
      <c r="V131" s="6"/>
      <c r="W131" s="6"/>
      <c r="X131" s="6"/>
      <c r="Y131" s="6"/>
      <c r="Z131" s="6"/>
      <c r="AA131" s="6"/>
      <c r="AB131" s="6"/>
      <c r="AC131" s="5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11">
        <f t="shared" si="4"/>
        <v>0</v>
      </c>
      <c r="AW131" s="38" t="s">
        <v>7</v>
      </c>
      <c r="AX131" s="6"/>
    </row>
    <row r="132" spans="1:52" s="4" customFormat="1" hidden="1" x14ac:dyDescent="0.2">
      <c r="A132" s="3"/>
      <c r="B132" s="4" t="str">
        <f>"HATÁROZATOK KÖNYVE"</f>
        <v>HATÁROZATOK KÖNYVE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7"/>
      <c r="T132" s="6"/>
      <c r="U132" s="6"/>
      <c r="V132" s="6"/>
      <c r="W132" s="6"/>
      <c r="X132" s="6"/>
      <c r="Y132" s="6"/>
      <c r="Z132" s="6"/>
      <c r="AA132" s="6"/>
      <c r="AB132" s="6"/>
      <c r="AC132" s="5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11">
        <f t="shared" si="4"/>
        <v>0</v>
      </c>
      <c r="AW132" s="38" t="s">
        <v>7</v>
      </c>
      <c r="AX132" s="6"/>
    </row>
    <row r="133" spans="1:52" s="4" customFormat="1" hidden="1" x14ac:dyDescent="0.2">
      <c r="A133" s="3"/>
      <c r="B133" s="4" t="str">
        <f>"HÁTLAP (BŐRHATÁSÚ)"</f>
        <v>HÁTLAP (BŐRHATÁSÚ)</v>
      </c>
      <c r="C133" s="4" t="s">
        <v>108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7"/>
      <c r="T133" s="6"/>
      <c r="U133" s="6"/>
      <c r="V133" s="6"/>
      <c r="W133" s="6"/>
      <c r="X133" s="6"/>
      <c r="Y133" s="6"/>
      <c r="Z133" s="6"/>
      <c r="AA133" s="6"/>
      <c r="AB133" s="6"/>
      <c r="AC133" s="5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11">
        <f t="shared" si="4"/>
        <v>0</v>
      </c>
      <c r="AW133" s="38" t="s">
        <v>7</v>
      </c>
      <c r="AX133" s="6"/>
    </row>
    <row r="134" spans="1:52" s="4" customFormat="1" hidden="1" x14ac:dyDescent="0.2">
      <c r="A134" s="3"/>
      <c r="B134" s="4" t="str">
        <f>"HIBAJAVÍTÓ FESTÉK (ECSETES)"</f>
        <v>HIBAJAVÍTÓ FESTÉK (ECSETES)</v>
      </c>
      <c r="C134" s="4" t="str">
        <f>"KORES"</f>
        <v>KORES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7"/>
      <c r="T134" s="6"/>
      <c r="U134" s="6"/>
      <c r="V134" s="6"/>
      <c r="W134" s="6"/>
      <c r="X134" s="6"/>
      <c r="Y134" s="6"/>
      <c r="Z134" s="6"/>
      <c r="AA134" s="6"/>
      <c r="AB134" s="6"/>
      <c r="AC134" s="5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11">
        <f t="shared" ref="AV134:AV172" si="6">SUM(D134:AU134)</f>
        <v>0</v>
      </c>
      <c r="AW134" s="38" t="s">
        <v>7</v>
      </c>
      <c r="AX134" s="6"/>
    </row>
    <row r="135" spans="1:52" s="4" customFormat="1" hidden="1" x14ac:dyDescent="0.2">
      <c r="A135" s="3"/>
      <c r="B135" s="4" t="str">
        <f>"HIBAJAVÍTÓ FESTÉKHÍGÍTÓ"</f>
        <v>HIBAJAVÍTÓ FESTÉKHÍGÍTÓ</v>
      </c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7"/>
      <c r="T135" s="6"/>
      <c r="U135" s="6"/>
      <c r="V135" s="6"/>
      <c r="W135" s="6"/>
      <c r="X135" s="6"/>
      <c r="Y135" s="6"/>
      <c r="Z135" s="6"/>
      <c r="AA135" s="6"/>
      <c r="AB135" s="6"/>
      <c r="AC135" s="5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11">
        <f t="shared" si="6"/>
        <v>0</v>
      </c>
      <c r="AW135" s="38" t="s">
        <v>7</v>
      </c>
      <c r="AX135" s="6"/>
    </row>
    <row r="136" spans="1:52" s="4" customFormat="1" hidden="1" x14ac:dyDescent="0.2">
      <c r="A136" s="3"/>
      <c r="B136" s="4" t="str">
        <f>"HIBAJAVÍTÓ TOLL (STRANGER)"</f>
        <v>HIBAJAVÍTÓ TOLL (STRANGER)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7"/>
      <c r="T136" s="6"/>
      <c r="U136" s="6"/>
      <c r="V136" s="6"/>
      <c r="W136" s="6"/>
      <c r="X136" s="6"/>
      <c r="Y136" s="6"/>
      <c r="Z136" s="6"/>
      <c r="AA136" s="6"/>
      <c r="AB136" s="6"/>
      <c r="AC136" s="5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11">
        <f t="shared" si="6"/>
        <v>0</v>
      </c>
      <c r="AW136" s="51"/>
      <c r="AX136" s="6"/>
    </row>
    <row r="137" spans="1:52" s="4" customFormat="1" hidden="1" x14ac:dyDescent="0.2">
      <c r="A137" s="3"/>
      <c r="B137" s="4" t="str">
        <f>"HULLADÉK ELHELYEZÉSI JEGY"</f>
        <v>HULLADÉK ELHELYEZÉSI JEGY</v>
      </c>
      <c r="C137" s="4" t="str">
        <f>"(TISZASZOLG)"</f>
        <v>(TISZASZOLG)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  <c r="T137" s="6"/>
      <c r="U137" s="6"/>
      <c r="V137" s="6"/>
      <c r="W137" s="6"/>
      <c r="X137" s="6"/>
      <c r="Y137" s="6"/>
      <c r="Z137" s="6"/>
      <c r="AA137" s="6"/>
      <c r="AB137" s="6"/>
      <c r="AC137" s="5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11">
        <f t="shared" si="6"/>
        <v>0</v>
      </c>
      <c r="AW137" s="51"/>
      <c r="AX137" s="6"/>
    </row>
    <row r="138" spans="1:52" s="4" customFormat="1" hidden="1" x14ac:dyDescent="0.2">
      <c r="A138" s="3"/>
      <c r="B138" s="4" t="str">
        <f>"IKTATÓKÖNYV (SOROS)"</f>
        <v>IKTATÓKÖNYV (SOROS)</v>
      </c>
      <c r="C138" s="4" t="str">
        <f>"C 5230-152"</f>
        <v>C 5230-152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7"/>
      <c r="T138" s="6"/>
      <c r="U138" s="6"/>
      <c r="V138" s="6"/>
      <c r="W138" s="6"/>
      <c r="X138" s="6"/>
      <c r="Y138" s="6"/>
      <c r="Z138" s="6"/>
      <c r="AA138" s="6"/>
      <c r="AB138" s="6"/>
      <c r="AC138" s="5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11">
        <f t="shared" si="6"/>
        <v>0</v>
      </c>
      <c r="AW138" s="51"/>
      <c r="AX138" s="6"/>
    </row>
    <row r="139" spans="1:52" s="4" customFormat="1" x14ac:dyDescent="0.2">
      <c r="A139" s="3" t="s">
        <v>83</v>
      </c>
      <c r="B139" s="4" t="str">
        <f>"GÉMKAPOCS (NORMÁL)"</f>
        <v>GÉMKAPOCS (NORMÁL)</v>
      </c>
      <c r="C139" s="4" t="str">
        <f>"33MM"</f>
        <v>33MM</v>
      </c>
      <c r="D139" s="6">
        <v>4</v>
      </c>
      <c r="E139" s="6"/>
      <c r="F139" s="6">
        <v>10</v>
      </c>
      <c r="G139" s="6"/>
      <c r="H139" s="6"/>
      <c r="I139" s="6"/>
      <c r="J139" s="6"/>
      <c r="K139" s="6">
        <v>2</v>
      </c>
      <c r="L139" s="6"/>
      <c r="M139" s="6"/>
      <c r="N139" s="6"/>
      <c r="O139" s="6">
        <v>1</v>
      </c>
      <c r="P139" s="6"/>
      <c r="Q139" s="6"/>
      <c r="R139" s="6">
        <v>5</v>
      </c>
      <c r="S139" s="7"/>
      <c r="T139" s="6"/>
      <c r="U139" s="6"/>
      <c r="V139" s="6"/>
      <c r="W139" s="6"/>
      <c r="X139" s="6"/>
      <c r="Y139" s="6"/>
      <c r="Z139" s="6"/>
      <c r="AA139" s="6"/>
      <c r="AB139" s="6"/>
      <c r="AC139" s="5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>
        <v>1</v>
      </c>
      <c r="AU139" s="6"/>
      <c r="AV139" s="11">
        <f t="shared" si="6"/>
        <v>23</v>
      </c>
      <c r="AW139" s="38" t="s">
        <v>7</v>
      </c>
      <c r="AX139" s="6"/>
    </row>
    <row r="140" spans="1:52" s="18" customFormat="1" x14ac:dyDescent="0.2">
      <c r="A140" s="3" t="s">
        <v>85</v>
      </c>
      <c r="B140" s="4" t="s">
        <v>113</v>
      </c>
      <c r="C140" s="4" t="s">
        <v>114</v>
      </c>
      <c r="D140" s="8"/>
      <c r="E140" s="8"/>
      <c r="F140" s="6"/>
      <c r="G140" s="8"/>
      <c r="H140" s="8"/>
      <c r="I140" s="6"/>
      <c r="J140" s="8"/>
      <c r="K140" s="6"/>
      <c r="L140" s="8"/>
      <c r="M140" s="8"/>
      <c r="N140" s="6"/>
      <c r="O140" s="8"/>
      <c r="P140" s="8"/>
      <c r="Q140" s="8"/>
      <c r="R140" s="6">
        <v>1</v>
      </c>
      <c r="S140" s="17"/>
      <c r="T140" s="8"/>
      <c r="U140" s="8"/>
      <c r="V140" s="8"/>
      <c r="W140" s="8"/>
      <c r="X140" s="8"/>
      <c r="Y140" s="8"/>
      <c r="Z140" s="8"/>
      <c r="AA140" s="8"/>
      <c r="AB140" s="8"/>
      <c r="AC140" s="13"/>
      <c r="AD140" s="8"/>
      <c r="AE140" s="8"/>
      <c r="AF140" s="8"/>
      <c r="AG140" s="6"/>
      <c r="AH140" s="8"/>
      <c r="AI140" s="6"/>
      <c r="AJ140" s="8"/>
      <c r="AK140" s="8"/>
      <c r="AL140" s="8"/>
      <c r="AM140" s="8"/>
      <c r="AN140" s="8"/>
      <c r="AO140" s="6"/>
      <c r="AP140" s="6"/>
      <c r="AQ140" s="6"/>
      <c r="AR140" s="8"/>
      <c r="AS140" s="8"/>
      <c r="AT140" s="8"/>
      <c r="AU140" s="8"/>
      <c r="AV140" s="11">
        <f t="shared" si="6"/>
        <v>1</v>
      </c>
      <c r="AW140" s="38" t="s">
        <v>7</v>
      </c>
      <c r="AX140" s="8"/>
    </row>
    <row r="141" spans="1:52" s="2" customFormat="1" x14ac:dyDescent="0.2">
      <c r="A141" s="3" t="s">
        <v>87</v>
      </c>
      <c r="B141" s="4" t="s">
        <v>116</v>
      </c>
      <c r="C141" s="4" t="s">
        <v>117</v>
      </c>
      <c r="D141" s="5"/>
      <c r="E141" s="6"/>
      <c r="F141" s="6"/>
      <c r="G141" s="6">
        <v>50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6"/>
      <c r="U141" s="6"/>
      <c r="V141" s="6"/>
      <c r="W141" s="6"/>
      <c r="X141" s="6"/>
      <c r="Y141" s="6"/>
      <c r="Z141" s="6"/>
      <c r="AA141" s="6"/>
      <c r="AB141" s="6"/>
      <c r="AC141" s="5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11">
        <f t="shared" si="6"/>
        <v>50</v>
      </c>
      <c r="AW141" s="38" t="s">
        <v>7</v>
      </c>
      <c r="AX141" s="11"/>
      <c r="AZ141" s="4"/>
    </row>
    <row r="142" spans="1:52" s="4" customFormat="1" x14ac:dyDescent="0.2">
      <c r="A142" s="3" t="s">
        <v>95</v>
      </c>
      <c r="B142" s="4" t="s">
        <v>120</v>
      </c>
      <c r="C142" s="4" t="s">
        <v>292</v>
      </c>
      <c r="D142" s="6"/>
      <c r="E142" s="6"/>
      <c r="F142" s="6">
        <v>300</v>
      </c>
      <c r="G142" s="6"/>
      <c r="H142" s="6"/>
      <c r="I142" s="6">
        <v>300</v>
      </c>
      <c r="J142" s="6"/>
      <c r="K142" s="6"/>
      <c r="L142" s="6"/>
      <c r="M142" s="6"/>
      <c r="N142" s="6">
        <v>100</v>
      </c>
      <c r="O142" s="6">
        <v>100</v>
      </c>
      <c r="P142" s="6"/>
      <c r="Q142" s="6"/>
      <c r="R142" s="6">
        <v>100</v>
      </c>
      <c r="S142" s="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>
        <v>300</v>
      </c>
      <c r="AO142" s="6"/>
      <c r="AP142" s="6"/>
      <c r="AQ142" s="6"/>
      <c r="AR142" s="6"/>
      <c r="AS142" s="6"/>
      <c r="AT142" s="6">
        <v>100</v>
      </c>
      <c r="AU142" s="6"/>
      <c r="AV142" s="11">
        <f t="shared" si="6"/>
        <v>1300</v>
      </c>
      <c r="AW142" s="38" t="s">
        <v>7</v>
      </c>
      <c r="AX142" s="6"/>
      <c r="AZ142" s="2"/>
    </row>
    <row r="143" spans="1:52" s="4" customFormat="1" x14ac:dyDescent="0.2">
      <c r="A143" s="3" t="s">
        <v>96</v>
      </c>
      <c r="B143" s="4" t="s">
        <v>290</v>
      </c>
      <c r="C143" s="4" t="s">
        <v>291</v>
      </c>
      <c r="D143" s="6"/>
      <c r="E143" s="6"/>
      <c r="F143" s="6"/>
      <c r="G143" s="6"/>
      <c r="H143" s="6"/>
      <c r="I143" s="6">
        <v>100</v>
      </c>
      <c r="J143" s="6"/>
      <c r="K143" s="6"/>
      <c r="L143" s="6"/>
      <c r="M143" s="6"/>
      <c r="N143" s="6"/>
      <c r="O143" s="6">
        <v>100</v>
      </c>
      <c r="P143" s="6"/>
      <c r="Q143" s="6"/>
      <c r="R143" s="6"/>
      <c r="S143" s="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>
        <v>300</v>
      </c>
      <c r="AO143" s="6"/>
      <c r="AP143" s="6"/>
      <c r="AQ143" s="6"/>
      <c r="AR143" s="6"/>
      <c r="AS143" s="6"/>
      <c r="AT143" s="6"/>
      <c r="AU143" s="6"/>
      <c r="AV143" s="11">
        <f t="shared" si="6"/>
        <v>500</v>
      </c>
      <c r="AW143" s="38" t="s">
        <v>7</v>
      </c>
      <c r="AX143" s="6"/>
      <c r="AZ143" s="2"/>
    </row>
    <row r="144" spans="1:52" s="4" customFormat="1" x14ac:dyDescent="0.2">
      <c r="A144" s="3" t="s">
        <v>97</v>
      </c>
      <c r="B144" s="4" t="s">
        <v>124</v>
      </c>
      <c r="C144" s="4" t="s">
        <v>125</v>
      </c>
      <c r="D144" s="6">
        <v>20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7"/>
      <c r="T144" s="6"/>
      <c r="U144" s="6"/>
      <c r="V144" s="6"/>
      <c r="W144" s="6"/>
      <c r="X144" s="6"/>
      <c r="Y144" s="6"/>
      <c r="Z144" s="6"/>
      <c r="AA144" s="6"/>
      <c r="AB144" s="6"/>
      <c r="AC144" s="5"/>
      <c r="AD144" s="6"/>
      <c r="AE144" s="6"/>
      <c r="AF144" s="6"/>
      <c r="AG144" s="6"/>
      <c r="AH144" s="6"/>
      <c r="AI144" s="6"/>
      <c r="AJ144" s="6"/>
      <c r="AK144" s="6"/>
      <c r="AL144" s="6">
        <v>2</v>
      </c>
      <c r="AM144" s="6">
        <v>2</v>
      </c>
      <c r="AN144" s="6"/>
      <c r="AO144" s="6"/>
      <c r="AP144" s="6"/>
      <c r="AQ144" s="6"/>
      <c r="AR144" s="6"/>
      <c r="AS144" s="6"/>
      <c r="AT144" s="6"/>
      <c r="AU144" s="6"/>
      <c r="AV144" s="11">
        <f t="shared" si="6"/>
        <v>24</v>
      </c>
      <c r="AW144" s="38" t="s">
        <v>7</v>
      </c>
      <c r="AX144" s="6"/>
      <c r="AZ144" s="2"/>
    </row>
    <row r="145" spans="1:50" s="4" customFormat="1" x14ac:dyDescent="0.2">
      <c r="A145" s="3" t="s">
        <v>99</v>
      </c>
      <c r="B145" s="4" t="s">
        <v>127</v>
      </c>
      <c r="C145" s="4" t="s">
        <v>128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7"/>
      <c r="T145" s="6"/>
      <c r="U145" s="6"/>
      <c r="V145" s="6"/>
      <c r="W145" s="6"/>
      <c r="X145" s="6"/>
      <c r="Y145" s="6"/>
      <c r="Z145" s="6"/>
      <c r="AA145" s="6"/>
      <c r="AB145" s="6"/>
      <c r="AC145" s="5"/>
      <c r="AD145" s="6"/>
      <c r="AE145" s="6"/>
      <c r="AF145" s="6"/>
      <c r="AG145" s="6">
        <v>2</v>
      </c>
      <c r="AH145" s="6">
        <v>2</v>
      </c>
      <c r="AI145" s="6">
        <v>2</v>
      </c>
      <c r="AJ145" s="6">
        <v>2</v>
      </c>
      <c r="AK145" s="6"/>
      <c r="AL145" s="6"/>
      <c r="AM145" s="6"/>
      <c r="AN145" s="6">
        <v>2</v>
      </c>
      <c r="AO145" s="6"/>
      <c r="AP145" s="6"/>
      <c r="AQ145" s="6"/>
      <c r="AR145" s="6"/>
      <c r="AS145" s="6"/>
      <c r="AT145" s="6"/>
      <c r="AU145" s="6"/>
      <c r="AV145" s="11">
        <f t="shared" si="6"/>
        <v>10</v>
      </c>
      <c r="AW145" s="38" t="s">
        <v>7</v>
      </c>
      <c r="AX145" s="6"/>
    </row>
    <row r="146" spans="1:50" s="4" customFormat="1" x14ac:dyDescent="0.2">
      <c r="A146" s="3" t="s">
        <v>101</v>
      </c>
      <c r="B146" s="4" t="str">
        <f>"GOLYÓSTOLL (PENAC RB-085 B.)"</f>
        <v>GOLYÓSTOLL (PENAC RB-085 B.)</v>
      </c>
      <c r="C146" s="4" t="s">
        <v>130</v>
      </c>
      <c r="D146" s="6"/>
      <c r="E146" s="6"/>
      <c r="F146" s="6">
        <v>24</v>
      </c>
      <c r="G146" s="6">
        <v>10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7"/>
      <c r="T146" s="6"/>
      <c r="U146" s="6"/>
      <c r="V146" s="6"/>
      <c r="W146" s="6"/>
      <c r="X146" s="6"/>
      <c r="Y146" s="6"/>
      <c r="Z146" s="6"/>
      <c r="AA146" s="6"/>
      <c r="AB146" s="6"/>
      <c r="AC146" s="5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11">
        <f t="shared" si="6"/>
        <v>34</v>
      </c>
      <c r="AW146" s="38" t="s">
        <v>7</v>
      </c>
      <c r="AX146" s="6"/>
    </row>
    <row r="147" spans="1:50" s="4" customFormat="1" x14ac:dyDescent="0.2">
      <c r="A147" s="3" t="s">
        <v>102</v>
      </c>
      <c r="B147" s="4" t="s">
        <v>132</v>
      </c>
      <c r="C147" s="4" t="s">
        <v>134</v>
      </c>
      <c r="D147" s="6"/>
      <c r="E147" s="6"/>
      <c r="F147" s="6"/>
      <c r="G147" s="6"/>
      <c r="H147" s="6"/>
      <c r="I147" s="6"/>
      <c r="J147" s="6"/>
      <c r="K147" s="6">
        <v>3</v>
      </c>
      <c r="L147" s="6"/>
      <c r="M147" s="6"/>
      <c r="N147" s="6"/>
      <c r="O147" s="6"/>
      <c r="P147" s="6"/>
      <c r="Q147" s="6"/>
      <c r="R147" s="6"/>
      <c r="S147" s="7"/>
      <c r="T147" s="6"/>
      <c r="U147" s="6"/>
      <c r="V147" s="6"/>
      <c r="W147" s="6"/>
      <c r="X147" s="6"/>
      <c r="Y147" s="6"/>
      <c r="Z147" s="6"/>
      <c r="AA147" s="6"/>
      <c r="AB147" s="6"/>
      <c r="AC147" s="5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11">
        <f t="shared" si="6"/>
        <v>3</v>
      </c>
      <c r="AW147" s="38" t="s">
        <v>7</v>
      </c>
      <c r="AX147" s="6"/>
    </row>
    <row r="148" spans="1:50" s="4" customFormat="1" x14ac:dyDescent="0.2">
      <c r="A148" s="3" t="s">
        <v>104</v>
      </c>
      <c r="B148" s="4" t="s">
        <v>132</v>
      </c>
      <c r="C148" s="4" t="s">
        <v>136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>
        <v>2</v>
      </c>
      <c r="S148" s="7"/>
      <c r="T148" s="6"/>
      <c r="U148" s="6"/>
      <c r="V148" s="6"/>
      <c r="W148" s="6"/>
      <c r="X148" s="6"/>
      <c r="Y148" s="6"/>
      <c r="Z148" s="6"/>
      <c r="AA148" s="6"/>
      <c r="AB148" s="6"/>
      <c r="AC148" s="5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11">
        <f t="shared" si="6"/>
        <v>2</v>
      </c>
      <c r="AW148" s="38" t="s">
        <v>7</v>
      </c>
      <c r="AX148" s="6"/>
    </row>
    <row r="149" spans="1:50" s="4" customFormat="1" x14ac:dyDescent="0.2">
      <c r="A149" s="3" t="s">
        <v>106</v>
      </c>
      <c r="B149" s="4" t="s">
        <v>139</v>
      </c>
      <c r="C149" s="4" t="s">
        <v>134</v>
      </c>
      <c r="D149" s="6">
        <v>20</v>
      </c>
      <c r="E149" s="6"/>
      <c r="F149" s="6">
        <v>36</v>
      </c>
      <c r="G149" s="6"/>
      <c r="H149" s="6"/>
      <c r="I149" s="6"/>
      <c r="J149" s="6"/>
      <c r="K149" s="6"/>
      <c r="L149" s="6"/>
      <c r="M149" s="6"/>
      <c r="N149" s="6"/>
      <c r="O149" s="6">
        <v>2</v>
      </c>
      <c r="P149" s="6"/>
      <c r="Q149" s="6"/>
      <c r="R149" s="6"/>
      <c r="S149" s="7"/>
      <c r="T149" s="6"/>
      <c r="U149" s="6"/>
      <c r="V149" s="6"/>
      <c r="W149" s="6"/>
      <c r="X149" s="6"/>
      <c r="Y149" s="6"/>
      <c r="Z149" s="6"/>
      <c r="AA149" s="6"/>
      <c r="AB149" s="6"/>
      <c r="AC149" s="5"/>
      <c r="AD149" s="6"/>
      <c r="AE149" s="6"/>
      <c r="AF149" s="6"/>
      <c r="AG149" s="6"/>
      <c r="AH149" s="6"/>
      <c r="AI149" s="6"/>
      <c r="AJ149" s="6"/>
      <c r="AK149" s="6"/>
      <c r="AL149" s="6">
        <v>2</v>
      </c>
      <c r="AM149" s="6">
        <v>2</v>
      </c>
      <c r="AN149" s="6"/>
      <c r="AO149" s="6"/>
      <c r="AP149" s="6"/>
      <c r="AQ149" s="6"/>
      <c r="AR149" s="6"/>
      <c r="AS149" s="6"/>
      <c r="AT149" s="6"/>
      <c r="AU149" s="6"/>
      <c r="AV149" s="11">
        <f t="shared" si="6"/>
        <v>62</v>
      </c>
      <c r="AW149" s="38" t="s">
        <v>7</v>
      </c>
      <c r="AX149" s="6"/>
    </row>
    <row r="150" spans="1:50" s="4" customFormat="1" x14ac:dyDescent="0.2">
      <c r="A150" s="3" t="s">
        <v>109</v>
      </c>
      <c r="B150" s="4" t="s">
        <v>139</v>
      </c>
      <c r="C150" s="4" t="s">
        <v>136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>
        <v>1</v>
      </c>
      <c r="S150" s="7"/>
      <c r="T150" s="6"/>
      <c r="U150" s="6"/>
      <c r="V150" s="6"/>
      <c r="W150" s="6"/>
      <c r="X150" s="6"/>
      <c r="Y150" s="6"/>
      <c r="Z150" s="6"/>
      <c r="AA150" s="6"/>
      <c r="AB150" s="6"/>
      <c r="AC150" s="5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11">
        <f t="shared" si="6"/>
        <v>1</v>
      </c>
      <c r="AW150" s="38" t="s">
        <v>7</v>
      </c>
      <c r="AX150" s="6"/>
    </row>
    <row r="151" spans="1:50" s="4" customFormat="1" ht="12.75" x14ac:dyDescent="0.2">
      <c r="A151" s="3" t="s">
        <v>110</v>
      </c>
      <c r="B151" s="4" t="s">
        <v>143</v>
      </c>
      <c r="C151" s="4" t="s">
        <v>134</v>
      </c>
      <c r="D151" s="6">
        <v>5</v>
      </c>
      <c r="E151" s="6"/>
      <c r="F151" s="6"/>
      <c r="G151" s="6"/>
      <c r="H151" s="6"/>
      <c r="I151" s="6">
        <v>5</v>
      </c>
      <c r="J151" s="6"/>
      <c r="K151" s="6">
        <v>3</v>
      </c>
      <c r="L151" s="6"/>
      <c r="M151" s="6"/>
      <c r="N151" s="6">
        <v>2</v>
      </c>
      <c r="O151" s="6">
        <v>1</v>
      </c>
      <c r="P151" s="6"/>
      <c r="Q151" s="6"/>
      <c r="R151" s="6"/>
      <c r="S151" s="7"/>
      <c r="T151" s="6"/>
      <c r="U151" s="6"/>
      <c r="V151" s="6"/>
      <c r="W151" s="6"/>
      <c r="X151" s="6"/>
      <c r="Y151" s="6"/>
      <c r="Z151" s="6"/>
      <c r="AA151" s="6"/>
      <c r="AB151" s="6"/>
      <c r="AC151" s="5"/>
      <c r="AD151" s="6"/>
      <c r="AE151" s="6"/>
      <c r="AF151" s="6"/>
      <c r="AG151" s="6">
        <v>3</v>
      </c>
      <c r="AH151" s="6">
        <v>3</v>
      </c>
      <c r="AI151" s="6">
        <v>3</v>
      </c>
      <c r="AJ151" s="6">
        <v>3</v>
      </c>
      <c r="AK151" s="6"/>
      <c r="AL151" s="6"/>
      <c r="AM151" s="6"/>
      <c r="AN151" s="6">
        <v>2</v>
      </c>
      <c r="AO151" s="6"/>
      <c r="AP151" s="6"/>
      <c r="AQ151" s="6"/>
      <c r="AR151" s="6"/>
      <c r="AS151" s="6"/>
      <c r="AT151" s="6"/>
      <c r="AU151" s="6"/>
      <c r="AV151" s="11">
        <f t="shared" si="6"/>
        <v>30</v>
      </c>
      <c r="AW151" s="38" t="s">
        <v>7</v>
      </c>
      <c r="AX151" s="6"/>
    </row>
    <row r="152" spans="1:50" s="4" customFormat="1" x14ac:dyDescent="0.2">
      <c r="A152" s="3" t="s">
        <v>111</v>
      </c>
      <c r="B152" s="4" t="s">
        <v>145</v>
      </c>
      <c r="C152" s="4" t="s">
        <v>134</v>
      </c>
      <c r="D152" s="6"/>
      <c r="E152" s="6"/>
      <c r="F152" s="6"/>
      <c r="G152" s="6"/>
      <c r="H152" s="6"/>
      <c r="I152" s="6">
        <v>5</v>
      </c>
      <c r="J152" s="6"/>
      <c r="K152" s="6">
        <v>3</v>
      </c>
      <c r="L152" s="6"/>
      <c r="M152" s="6"/>
      <c r="N152" s="6"/>
      <c r="O152" s="6"/>
      <c r="P152" s="6"/>
      <c r="Q152" s="6"/>
      <c r="R152" s="6"/>
      <c r="S152" s="7"/>
      <c r="T152" s="6"/>
      <c r="U152" s="6"/>
      <c r="V152" s="6"/>
      <c r="W152" s="6"/>
      <c r="X152" s="6"/>
      <c r="Y152" s="6"/>
      <c r="Z152" s="6"/>
      <c r="AA152" s="6"/>
      <c r="AB152" s="6"/>
      <c r="AC152" s="5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11">
        <f t="shared" si="6"/>
        <v>8</v>
      </c>
      <c r="AW152" s="38" t="s">
        <v>7</v>
      </c>
      <c r="AX152" s="6"/>
    </row>
    <row r="153" spans="1:50" s="4" customFormat="1" x14ac:dyDescent="0.2">
      <c r="A153" s="3" t="s">
        <v>112</v>
      </c>
      <c r="B153" s="4" t="s">
        <v>148</v>
      </c>
      <c r="C153" s="4" t="s">
        <v>149</v>
      </c>
      <c r="D153" s="6"/>
      <c r="E153" s="6"/>
      <c r="F153" s="6">
        <v>5</v>
      </c>
      <c r="G153" s="6"/>
      <c r="H153" s="6"/>
      <c r="I153" s="6">
        <v>20</v>
      </c>
      <c r="J153" s="6"/>
      <c r="K153" s="6">
        <v>1</v>
      </c>
      <c r="L153" s="6"/>
      <c r="M153" s="6"/>
      <c r="N153" s="6"/>
      <c r="O153" s="6"/>
      <c r="P153" s="6"/>
      <c r="Q153" s="6"/>
      <c r="R153" s="6"/>
      <c r="S153" s="7"/>
      <c r="T153" s="6"/>
      <c r="U153" s="6"/>
      <c r="V153" s="6"/>
      <c r="W153" s="6"/>
      <c r="X153" s="6"/>
      <c r="Y153" s="6"/>
      <c r="Z153" s="6"/>
      <c r="AA153" s="6"/>
      <c r="AB153" s="6"/>
      <c r="AC153" s="5"/>
      <c r="AD153" s="6"/>
      <c r="AE153" s="6"/>
      <c r="AF153" s="6"/>
      <c r="AG153" s="6"/>
      <c r="AH153" s="6"/>
      <c r="AI153" s="6"/>
      <c r="AJ153" s="6"/>
      <c r="AK153" s="6"/>
      <c r="AL153" s="6">
        <v>1</v>
      </c>
      <c r="AM153" s="6">
        <v>1</v>
      </c>
      <c r="AN153" s="6">
        <v>1</v>
      </c>
      <c r="AO153" s="6"/>
      <c r="AP153" s="6"/>
      <c r="AQ153" s="6"/>
      <c r="AR153" s="6"/>
      <c r="AS153" s="6">
        <v>1</v>
      </c>
      <c r="AT153" s="6">
        <v>3</v>
      </c>
      <c r="AU153" s="6"/>
      <c r="AV153" s="11">
        <f t="shared" si="6"/>
        <v>33</v>
      </c>
      <c r="AW153" s="38" t="s">
        <v>7</v>
      </c>
      <c r="AX153" s="6"/>
    </row>
    <row r="154" spans="1:50" s="4" customFormat="1" x14ac:dyDescent="0.2">
      <c r="A154" s="3" t="s">
        <v>115</v>
      </c>
      <c r="B154" s="4" t="s">
        <v>148</v>
      </c>
      <c r="C154" s="4" t="s">
        <v>151</v>
      </c>
      <c r="D154" s="6"/>
      <c r="E154" s="6"/>
      <c r="F154" s="6"/>
      <c r="G154" s="6"/>
      <c r="H154" s="6"/>
      <c r="I154" s="6">
        <v>5</v>
      </c>
      <c r="J154" s="6"/>
      <c r="K154" s="6"/>
      <c r="L154" s="6"/>
      <c r="M154" s="6"/>
      <c r="N154" s="6"/>
      <c r="O154" s="6"/>
      <c r="P154" s="6"/>
      <c r="Q154" s="6"/>
      <c r="R154" s="6"/>
      <c r="S154" s="7"/>
      <c r="T154" s="6"/>
      <c r="U154" s="6"/>
      <c r="V154" s="6"/>
      <c r="W154" s="6"/>
      <c r="X154" s="6"/>
      <c r="Y154" s="6"/>
      <c r="Z154" s="6"/>
      <c r="AA154" s="6"/>
      <c r="AB154" s="6"/>
      <c r="AC154" s="5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>
        <v>1</v>
      </c>
      <c r="AT154" s="6">
        <v>1</v>
      </c>
      <c r="AU154" s="6"/>
      <c r="AV154" s="11">
        <f t="shared" si="6"/>
        <v>7</v>
      </c>
      <c r="AW154" s="38" t="s">
        <v>7</v>
      </c>
      <c r="AX154" s="6"/>
    </row>
    <row r="155" spans="1:50" s="2" customFormat="1" hidden="1" x14ac:dyDescent="0.2">
      <c r="A155" s="3"/>
      <c r="B155" s="4" t="s">
        <v>152</v>
      </c>
      <c r="C155" s="4" t="str">
        <f>"A/4"</f>
        <v>A/4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7"/>
      <c r="T155" s="6"/>
      <c r="U155" s="6"/>
      <c r="V155" s="6"/>
      <c r="W155" s="6"/>
      <c r="X155" s="6"/>
      <c r="Y155" s="6"/>
      <c r="Z155" s="6"/>
      <c r="AA155" s="6"/>
      <c r="AB155" s="6"/>
      <c r="AC155" s="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11">
        <f t="shared" si="6"/>
        <v>0</v>
      </c>
      <c r="AW155" s="38" t="s">
        <v>7</v>
      </c>
      <c r="AX155" s="11"/>
    </row>
    <row r="156" spans="1:50" s="4" customFormat="1" x14ac:dyDescent="0.2">
      <c r="A156" s="3" t="s">
        <v>118</v>
      </c>
      <c r="B156" s="4" t="s">
        <v>154</v>
      </c>
      <c r="C156" s="4" t="s">
        <v>155</v>
      </c>
      <c r="D156" s="6">
        <v>5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>
        <v>2</v>
      </c>
      <c r="S156" s="7"/>
      <c r="T156" s="6"/>
      <c r="U156" s="6"/>
      <c r="V156" s="6"/>
      <c r="W156" s="6"/>
      <c r="X156" s="6"/>
      <c r="Y156" s="6"/>
      <c r="Z156" s="6"/>
      <c r="AA156" s="6"/>
      <c r="AB156" s="6"/>
      <c r="AC156" s="5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>
        <v>1</v>
      </c>
      <c r="AS156" s="6">
        <v>1</v>
      </c>
      <c r="AT156" s="6"/>
      <c r="AU156" s="6"/>
      <c r="AV156" s="11">
        <f t="shared" si="6"/>
        <v>9</v>
      </c>
      <c r="AW156" s="38" t="s">
        <v>7</v>
      </c>
      <c r="AX156" s="6"/>
    </row>
    <row r="157" spans="1:50" s="2" customFormat="1" x14ac:dyDescent="0.2">
      <c r="A157" s="3" t="s">
        <v>119</v>
      </c>
      <c r="B157" s="4" t="s">
        <v>160</v>
      </c>
      <c r="C157" s="4"/>
      <c r="D157" s="6">
        <v>10</v>
      </c>
      <c r="E157" s="6"/>
      <c r="F157" s="6">
        <v>36</v>
      </c>
      <c r="G157" s="6">
        <v>3</v>
      </c>
      <c r="H157" s="6"/>
      <c r="I157" s="6">
        <v>2</v>
      </c>
      <c r="J157" s="6"/>
      <c r="K157" s="6"/>
      <c r="L157" s="6"/>
      <c r="M157" s="6"/>
      <c r="N157" s="6">
        <v>1</v>
      </c>
      <c r="O157" s="6"/>
      <c r="P157" s="6"/>
      <c r="Q157" s="6"/>
      <c r="R157" s="6">
        <v>4</v>
      </c>
      <c r="S157" s="7"/>
      <c r="T157" s="6"/>
      <c r="U157" s="6"/>
      <c r="V157" s="6"/>
      <c r="W157" s="6"/>
      <c r="X157" s="6"/>
      <c r="Y157" s="6"/>
      <c r="Z157" s="6"/>
      <c r="AA157" s="6"/>
      <c r="AB157" s="6"/>
      <c r="AC157" s="5"/>
      <c r="AD157" s="6"/>
      <c r="AE157" s="6"/>
      <c r="AF157" s="6"/>
      <c r="AG157" s="6">
        <v>3</v>
      </c>
      <c r="AH157" s="6">
        <v>3</v>
      </c>
      <c r="AI157" s="6">
        <v>3</v>
      </c>
      <c r="AJ157" s="6">
        <v>3</v>
      </c>
      <c r="AK157" s="6"/>
      <c r="AL157" s="6">
        <v>3</v>
      </c>
      <c r="AM157" s="6">
        <v>3</v>
      </c>
      <c r="AN157" s="6">
        <v>10</v>
      </c>
      <c r="AO157" s="6"/>
      <c r="AP157" s="6"/>
      <c r="AQ157" s="6"/>
      <c r="AR157" s="6"/>
      <c r="AS157" s="6">
        <v>1</v>
      </c>
      <c r="AT157" s="6">
        <v>4</v>
      </c>
      <c r="AU157" s="6"/>
      <c r="AV157" s="11">
        <f t="shared" si="6"/>
        <v>89</v>
      </c>
      <c r="AW157" s="38" t="s">
        <v>7</v>
      </c>
      <c r="AX157" s="11"/>
    </row>
    <row r="158" spans="1:50" s="2" customFormat="1" x14ac:dyDescent="0.2">
      <c r="A158" s="3" t="s">
        <v>121</v>
      </c>
      <c r="B158" s="4" t="s">
        <v>162</v>
      </c>
      <c r="C158" s="4" t="s">
        <v>163</v>
      </c>
      <c r="D158" s="6"/>
      <c r="E158" s="6"/>
      <c r="F158" s="6"/>
      <c r="G158" s="6"/>
      <c r="H158" s="6"/>
      <c r="I158" s="6"/>
      <c r="J158" s="6"/>
      <c r="K158" s="6">
        <v>1</v>
      </c>
      <c r="L158" s="6"/>
      <c r="M158" s="6"/>
      <c r="N158" s="6"/>
      <c r="O158" s="6"/>
      <c r="P158" s="6"/>
      <c r="Q158" s="6"/>
      <c r="R158" s="6"/>
      <c r="S158" s="7"/>
      <c r="T158" s="6"/>
      <c r="U158" s="6"/>
      <c r="V158" s="6"/>
      <c r="W158" s="6"/>
      <c r="X158" s="6"/>
      <c r="Y158" s="6"/>
      <c r="Z158" s="6"/>
      <c r="AA158" s="6"/>
      <c r="AB158" s="6"/>
      <c r="AC158" s="5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11">
        <f t="shared" si="6"/>
        <v>1</v>
      </c>
      <c r="AW158" s="38" t="s">
        <v>7</v>
      </c>
      <c r="AX158" s="11"/>
    </row>
    <row r="159" spans="1:50" s="2" customFormat="1" x14ac:dyDescent="0.2">
      <c r="A159" s="3" t="s">
        <v>122</v>
      </c>
      <c r="B159" s="2" t="s">
        <v>165</v>
      </c>
      <c r="C159" s="2" t="s">
        <v>166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7"/>
      <c r="T159" s="6"/>
      <c r="U159" s="6"/>
      <c r="V159" s="6"/>
      <c r="W159" s="6"/>
      <c r="X159" s="6"/>
      <c r="Y159" s="6"/>
      <c r="Z159" s="6"/>
      <c r="AA159" s="6"/>
      <c r="AB159" s="6"/>
      <c r="AC159" s="5"/>
      <c r="AD159" s="6"/>
      <c r="AE159" s="6"/>
      <c r="AF159" s="6"/>
      <c r="AG159" s="6"/>
      <c r="AH159" s="6"/>
      <c r="AI159" s="6"/>
      <c r="AJ159" s="6"/>
      <c r="AK159" s="6"/>
      <c r="AL159" s="6"/>
      <c r="AM159" s="6">
        <v>1</v>
      </c>
      <c r="AN159" s="6">
        <v>5</v>
      </c>
      <c r="AO159" s="6"/>
      <c r="AP159" s="6"/>
      <c r="AQ159" s="6"/>
      <c r="AR159" s="6"/>
      <c r="AS159" s="6"/>
      <c r="AT159" s="6"/>
      <c r="AU159" s="6"/>
      <c r="AV159" s="11">
        <f t="shared" si="6"/>
        <v>6</v>
      </c>
      <c r="AW159" s="38" t="s">
        <v>7</v>
      </c>
      <c r="AX159" s="11"/>
    </row>
    <row r="160" spans="1:50" s="2" customFormat="1" x14ac:dyDescent="0.2">
      <c r="A160" s="3" t="s">
        <v>123</v>
      </c>
      <c r="B160" s="4" t="s">
        <v>152</v>
      </c>
      <c r="C160" s="4" t="s">
        <v>168</v>
      </c>
      <c r="D160" s="6">
        <v>3</v>
      </c>
      <c r="E160" s="6"/>
      <c r="F160" s="6">
        <v>5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7"/>
      <c r="T160" s="6"/>
      <c r="U160" s="6"/>
      <c r="V160" s="6"/>
      <c r="W160" s="6"/>
      <c r="X160" s="6"/>
      <c r="Y160" s="6"/>
      <c r="Z160" s="6"/>
      <c r="AA160" s="6"/>
      <c r="AB160" s="6"/>
      <c r="AC160" s="5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11">
        <f t="shared" si="6"/>
        <v>8</v>
      </c>
      <c r="AW160" s="38" t="s">
        <v>7</v>
      </c>
      <c r="AX160" s="11"/>
    </row>
    <row r="161" spans="1:50" s="2" customFormat="1" hidden="1" x14ac:dyDescent="0.2">
      <c r="A161" s="3"/>
      <c r="B161" s="4" t="s">
        <v>169</v>
      </c>
      <c r="C161" s="4" t="str">
        <f>"A/4"</f>
        <v>A/4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  <c r="T161" s="6"/>
      <c r="U161" s="6"/>
      <c r="V161" s="6"/>
      <c r="W161" s="6"/>
      <c r="X161" s="6"/>
      <c r="Y161" s="6"/>
      <c r="Z161" s="6"/>
      <c r="AA161" s="6"/>
      <c r="AB161" s="6"/>
      <c r="AC161" s="5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11">
        <f t="shared" si="6"/>
        <v>0</v>
      </c>
      <c r="AW161" s="38" t="s">
        <v>7</v>
      </c>
      <c r="AX161" s="11"/>
    </row>
    <row r="162" spans="1:50" s="2" customFormat="1" x14ac:dyDescent="0.2">
      <c r="A162" s="3" t="s">
        <v>126</v>
      </c>
      <c r="B162" s="4" t="s">
        <v>152</v>
      </c>
      <c r="C162" s="4" t="s">
        <v>171</v>
      </c>
      <c r="D162" s="6">
        <v>3</v>
      </c>
      <c r="E162" s="6"/>
      <c r="F162" s="6">
        <v>5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7"/>
      <c r="T162" s="6"/>
      <c r="U162" s="6"/>
      <c r="V162" s="6"/>
      <c r="W162" s="6"/>
      <c r="X162" s="6"/>
      <c r="Y162" s="6"/>
      <c r="Z162" s="6"/>
      <c r="AA162" s="6"/>
      <c r="AB162" s="6"/>
      <c r="AC162" s="5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11">
        <f t="shared" si="6"/>
        <v>8</v>
      </c>
      <c r="AW162" s="38" t="s">
        <v>7</v>
      </c>
      <c r="AX162" s="11"/>
    </row>
    <row r="163" spans="1:50" s="2" customFormat="1" x14ac:dyDescent="0.2">
      <c r="A163" s="3" t="s">
        <v>129</v>
      </c>
      <c r="B163" s="4" t="s">
        <v>152</v>
      </c>
      <c r="C163" s="4" t="s">
        <v>173</v>
      </c>
      <c r="D163" s="6">
        <v>3</v>
      </c>
      <c r="E163" s="6"/>
      <c r="F163" s="6">
        <v>5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7"/>
      <c r="T163" s="6"/>
      <c r="U163" s="6"/>
      <c r="V163" s="6"/>
      <c r="W163" s="6"/>
      <c r="X163" s="6"/>
      <c r="Y163" s="6"/>
      <c r="Z163" s="6"/>
      <c r="AA163" s="6"/>
      <c r="AB163" s="6"/>
      <c r="AC163" s="5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11">
        <f t="shared" si="6"/>
        <v>8</v>
      </c>
      <c r="AW163" s="38" t="s">
        <v>7</v>
      </c>
      <c r="AX163" s="11"/>
    </row>
    <row r="164" spans="1:50" s="2" customFormat="1" x14ac:dyDescent="0.2">
      <c r="A164" s="3" t="s">
        <v>131</v>
      </c>
      <c r="B164" s="4" t="s">
        <v>152</v>
      </c>
      <c r="C164" s="4" t="s">
        <v>175</v>
      </c>
      <c r="D164" s="6"/>
      <c r="E164" s="6"/>
      <c r="F164" s="6">
        <v>5</v>
      </c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7"/>
      <c r="T164" s="6"/>
      <c r="U164" s="6"/>
      <c r="V164" s="6"/>
      <c r="W164" s="6"/>
      <c r="X164" s="6"/>
      <c r="Y164" s="6"/>
      <c r="Z164" s="6"/>
      <c r="AA164" s="6"/>
      <c r="AB164" s="6"/>
      <c r="AC164" s="5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11">
        <f t="shared" si="6"/>
        <v>5</v>
      </c>
      <c r="AW164" s="38" t="s">
        <v>7</v>
      </c>
      <c r="AX164" s="11"/>
    </row>
    <row r="165" spans="1:50" s="2" customFormat="1" x14ac:dyDescent="0.2">
      <c r="A165" s="3" t="s">
        <v>133</v>
      </c>
      <c r="B165" s="4" t="s">
        <v>152</v>
      </c>
      <c r="C165" s="4" t="s">
        <v>177</v>
      </c>
      <c r="D165" s="6"/>
      <c r="E165" s="6"/>
      <c r="F165" s="6">
        <v>5</v>
      </c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7"/>
      <c r="T165" s="6"/>
      <c r="U165" s="6"/>
      <c r="V165" s="6"/>
      <c r="W165" s="6"/>
      <c r="X165" s="6"/>
      <c r="Y165" s="6"/>
      <c r="Z165" s="6"/>
      <c r="AA165" s="6"/>
      <c r="AB165" s="6"/>
      <c r="AC165" s="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11">
        <f t="shared" si="6"/>
        <v>5</v>
      </c>
      <c r="AW165" s="38" t="s">
        <v>7</v>
      </c>
      <c r="AX165" s="11"/>
    </row>
    <row r="166" spans="1:50" s="2" customFormat="1" ht="9.75" customHeight="1" x14ac:dyDescent="0.2">
      <c r="A166" s="3" t="s">
        <v>135</v>
      </c>
      <c r="B166" s="4" t="s">
        <v>152</v>
      </c>
      <c r="C166" s="4" t="s">
        <v>179</v>
      </c>
      <c r="D166" s="6"/>
      <c r="E166" s="6"/>
      <c r="F166" s="6">
        <v>5</v>
      </c>
      <c r="G166" s="6"/>
      <c r="H166" s="6"/>
      <c r="I166" s="6"/>
      <c r="J166" s="6"/>
      <c r="K166" s="6"/>
      <c r="L166" s="6"/>
      <c r="M166" s="6"/>
      <c r="N166" s="6">
        <v>2</v>
      </c>
      <c r="O166" s="6"/>
      <c r="P166" s="6"/>
      <c r="Q166" s="6"/>
      <c r="R166" s="6"/>
      <c r="S166" s="7"/>
      <c r="T166" s="6"/>
      <c r="U166" s="6"/>
      <c r="V166" s="6"/>
      <c r="W166" s="6"/>
      <c r="X166" s="6"/>
      <c r="Y166" s="6"/>
      <c r="Z166" s="6"/>
      <c r="AA166" s="6"/>
      <c r="AB166" s="6"/>
      <c r="AC166" s="5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11">
        <f t="shared" si="6"/>
        <v>7</v>
      </c>
      <c r="AW166" s="38" t="s">
        <v>7</v>
      </c>
      <c r="AX166" s="11"/>
    </row>
    <row r="167" spans="1:50" s="2" customFormat="1" hidden="1" x14ac:dyDescent="0.2">
      <c r="A167" s="3"/>
      <c r="B167" s="4" t="s">
        <v>180</v>
      </c>
      <c r="C167" s="4" t="s">
        <v>103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7"/>
      <c r="T167" s="6"/>
      <c r="U167" s="6"/>
      <c r="V167" s="6"/>
      <c r="W167" s="6"/>
      <c r="X167" s="6"/>
      <c r="Y167" s="6"/>
      <c r="Z167" s="6"/>
      <c r="AA167" s="6"/>
      <c r="AB167" s="6"/>
      <c r="AC167" s="5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11">
        <f t="shared" si="6"/>
        <v>0</v>
      </c>
      <c r="AW167" s="38" t="s">
        <v>7</v>
      </c>
      <c r="AX167" s="11"/>
    </row>
    <row r="168" spans="1:50" s="2" customFormat="1" hidden="1" x14ac:dyDescent="0.2">
      <c r="A168" s="3"/>
      <c r="B168" s="4" t="s">
        <v>180</v>
      </c>
      <c r="C168" s="4" t="s">
        <v>181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7"/>
      <c r="T168" s="6"/>
      <c r="U168" s="6"/>
      <c r="V168" s="6"/>
      <c r="W168" s="6"/>
      <c r="X168" s="6"/>
      <c r="Y168" s="6"/>
      <c r="Z168" s="6"/>
      <c r="AA168" s="6"/>
      <c r="AB168" s="6"/>
      <c r="AC168" s="5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11">
        <f t="shared" si="6"/>
        <v>0</v>
      </c>
      <c r="AW168" s="38" t="s">
        <v>7</v>
      </c>
      <c r="AX168" s="11"/>
    </row>
    <row r="169" spans="1:50" s="2" customFormat="1" hidden="1" x14ac:dyDescent="0.2">
      <c r="A169" s="3"/>
      <c r="B169" s="4" t="s">
        <v>180</v>
      </c>
      <c r="C169" s="4" t="s">
        <v>182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7"/>
      <c r="T169" s="6"/>
      <c r="U169" s="6"/>
      <c r="V169" s="6"/>
      <c r="W169" s="6"/>
      <c r="X169" s="6"/>
      <c r="Y169" s="6"/>
      <c r="Z169" s="6"/>
      <c r="AA169" s="6"/>
      <c r="AB169" s="6"/>
      <c r="AC169" s="5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11">
        <f t="shared" si="6"/>
        <v>0</v>
      </c>
      <c r="AW169" s="38" t="s">
        <v>7</v>
      </c>
      <c r="AX169" s="11"/>
    </row>
    <row r="170" spans="1:50" s="2" customFormat="1" hidden="1" x14ac:dyDescent="0.2">
      <c r="A170" s="3"/>
      <c r="B170" s="4" t="s">
        <v>180</v>
      </c>
      <c r="C170" s="4" t="s">
        <v>183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7"/>
      <c r="T170" s="6"/>
      <c r="U170" s="6"/>
      <c r="V170" s="6"/>
      <c r="W170" s="6"/>
      <c r="X170" s="6"/>
      <c r="Y170" s="6"/>
      <c r="Z170" s="6"/>
      <c r="AA170" s="6"/>
      <c r="AB170" s="6"/>
      <c r="AC170" s="5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11">
        <f t="shared" si="6"/>
        <v>0</v>
      </c>
      <c r="AW170" s="38" t="s">
        <v>7</v>
      </c>
      <c r="AX170" s="11"/>
    </row>
    <row r="171" spans="1:50" s="2" customFormat="1" x14ac:dyDescent="0.2">
      <c r="A171" s="3" t="s">
        <v>137</v>
      </c>
      <c r="B171" s="4" t="s">
        <v>152</v>
      </c>
      <c r="C171" s="4" t="s">
        <v>186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>
        <v>2</v>
      </c>
      <c r="O171" s="6"/>
      <c r="P171" s="6"/>
      <c r="Q171" s="6"/>
      <c r="R171" s="6"/>
      <c r="S171" s="7"/>
      <c r="T171" s="6"/>
      <c r="U171" s="6"/>
      <c r="V171" s="6"/>
      <c r="W171" s="6"/>
      <c r="X171" s="6"/>
      <c r="Y171" s="6"/>
      <c r="Z171" s="6"/>
      <c r="AA171" s="6"/>
      <c r="AB171" s="6"/>
      <c r="AC171" s="5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11">
        <f t="shared" si="6"/>
        <v>2</v>
      </c>
      <c r="AW171" s="38" t="s">
        <v>7</v>
      </c>
      <c r="AX171" s="11"/>
    </row>
    <row r="172" spans="1:50" s="2" customFormat="1" x14ac:dyDescent="0.2">
      <c r="A172" s="3" t="s">
        <v>138</v>
      </c>
      <c r="B172" s="4" t="s">
        <v>180</v>
      </c>
      <c r="C172" s="4" t="s">
        <v>188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7"/>
      <c r="T172" s="6"/>
      <c r="U172" s="6"/>
      <c r="V172" s="6"/>
      <c r="W172" s="6"/>
      <c r="X172" s="6"/>
      <c r="Y172" s="6"/>
      <c r="Z172" s="6"/>
      <c r="AA172" s="6"/>
      <c r="AB172" s="6"/>
      <c r="AC172" s="5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>
        <v>10</v>
      </c>
      <c r="AU172" s="6"/>
      <c r="AV172" s="11">
        <f t="shared" si="6"/>
        <v>10</v>
      </c>
      <c r="AW172" s="38" t="s">
        <v>7</v>
      </c>
      <c r="AX172" s="11"/>
    </row>
    <row r="173" spans="1:50" s="2" customFormat="1" x14ac:dyDescent="0.2">
      <c r="A173" s="3" t="s">
        <v>140</v>
      </c>
      <c r="B173" s="4" t="s">
        <v>180</v>
      </c>
      <c r="C173" s="4" t="s">
        <v>193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7"/>
      <c r="T173" s="6"/>
      <c r="U173" s="6"/>
      <c r="V173" s="6"/>
      <c r="W173" s="6"/>
      <c r="X173" s="6"/>
      <c r="Y173" s="6"/>
      <c r="Z173" s="6"/>
      <c r="AA173" s="6"/>
      <c r="AB173" s="6"/>
      <c r="AC173" s="5"/>
      <c r="AD173" s="6"/>
      <c r="AE173" s="6"/>
      <c r="AF173" s="6"/>
      <c r="AG173" s="6">
        <v>10</v>
      </c>
      <c r="AH173" s="6">
        <v>10</v>
      </c>
      <c r="AI173" s="6">
        <v>10</v>
      </c>
      <c r="AJ173" s="6">
        <v>10</v>
      </c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11">
        <f t="shared" ref="AV173:AV233" si="7">SUM(D173:AU173)</f>
        <v>40</v>
      </c>
      <c r="AW173" s="38" t="s">
        <v>7</v>
      </c>
      <c r="AX173" s="11"/>
    </row>
    <row r="174" spans="1:50" s="2" customFormat="1" x14ac:dyDescent="0.2">
      <c r="A174" s="3" t="s">
        <v>141</v>
      </c>
      <c r="B174" s="4" t="s">
        <v>196</v>
      </c>
      <c r="C174" s="4" t="s">
        <v>197</v>
      </c>
      <c r="D174" s="6">
        <v>10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>
        <v>10</v>
      </c>
      <c r="S174" s="7"/>
      <c r="T174" s="6"/>
      <c r="U174" s="6"/>
      <c r="V174" s="6"/>
      <c r="W174" s="6"/>
      <c r="X174" s="6"/>
      <c r="Y174" s="6"/>
      <c r="Z174" s="6"/>
      <c r="AA174" s="6"/>
      <c r="AB174" s="6"/>
      <c r="AC174" s="5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11">
        <f t="shared" si="7"/>
        <v>20</v>
      </c>
      <c r="AW174" s="38" t="s">
        <v>7</v>
      </c>
      <c r="AX174" s="11"/>
    </row>
    <row r="175" spans="1:50" s="2" customFormat="1" x14ac:dyDescent="0.2">
      <c r="A175" s="3" t="s">
        <v>142</v>
      </c>
      <c r="B175" s="4" t="s">
        <v>196</v>
      </c>
      <c r="C175" s="4" t="s">
        <v>199</v>
      </c>
      <c r="D175" s="6">
        <v>10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>
        <v>10</v>
      </c>
      <c r="S175" s="7"/>
      <c r="T175" s="6"/>
      <c r="U175" s="6"/>
      <c r="V175" s="6"/>
      <c r="W175" s="6"/>
      <c r="X175" s="6"/>
      <c r="Y175" s="6"/>
      <c r="Z175" s="6"/>
      <c r="AA175" s="6"/>
      <c r="AB175" s="6"/>
      <c r="AC175" s="5"/>
      <c r="AD175" s="6"/>
      <c r="AE175" s="6"/>
      <c r="AF175" s="6"/>
      <c r="AG175" s="6"/>
      <c r="AH175" s="4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11">
        <f t="shared" si="7"/>
        <v>20</v>
      </c>
      <c r="AW175" s="38" t="s">
        <v>7</v>
      </c>
      <c r="AX175" s="11"/>
    </row>
    <row r="176" spans="1:50" s="2" customFormat="1" x14ac:dyDescent="0.2">
      <c r="A176" s="3" t="s">
        <v>144</v>
      </c>
      <c r="B176" s="4" t="s">
        <v>196</v>
      </c>
      <c r="C176" s="4" t="s">
        <v>201</v>
      </c>
      <c r="D176" s="6">
        <v>10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>
        <v>10</v>
      </c>
      <c r="S176" s="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11">
        <f t="shared" si="7"/>
        <v>20</v>
      </c>
      <c r="AW176" s="38" t="s">
        <v>3</v>
      </c>
      <c r="AX176" s="11"/>
    </row>
    <row r="177" spans="1:52" s="4" customFormat="1" hidden="1" x14ac:dyDescent="0.2">
      <c r="A177" s="3"/>
      <c r="B177" s="4" t="str">
        <f>"RAKTÁRI KÉSZLETNYILVÁNTARTÓ"</f>
        <v>RAKTÁRI KÉSZLETNYILVÁNTARTÓ</v>
      </c>
      <c r="C177" s="4" t="str">
        <f>"B.12-152"</f>
        <v>B.12-152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6"/>
      <c r="AC177" s="5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11">
        <f t="shared" si="7"/>
        <v>0</v>
      </c>
      <c r="AW177" s="51"/>
      <c r="AX177" s="6"/>
    </row>
    <row r="178" spans="1:52" s="4" customFormat="1" hidden="1" x14ac:dyDescent="0.2">
      <c r="A178" s="3"/>
      <c r="B178" s="4" t="s">
        <v>202</v>
      </c>
      <c r="C178" s="4" t="s">
        <v>203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6"/>
      <c r="AC178" s="5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11">
        <f t="shared" si="7"/>
        <v>0</v>
      </c>
      <c r="AW178" s="38" t="s">
        <v>7</v>
      </c>
      <c r="AX178" s="6"/>
    </row>
    <row r="179" spans="1:52" s="4" customFormat="1" hidden="1" x14ac:dyDescent="0.2">
      <c r="A179" s="3"/>
      <c r="B179" s="4" t="s">
        <v>204</v>
      </c>
      <c r="C179" s="4" t="str">
        <f>"PENTEL"</f>
        <v>PENTEL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6"/>
      <c r="AC179" s="5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11">
        <f t="shared" si="7"/>
        <v>0</v>
      </c>
      <c r="AW179" s="38" t="s">
        <v>7</v>
      </c>
      <c r="AX179" s="6"/>
    </row>
    <row r="180" spans="1:52" s="4" customFormat="1" hidden="1" x14ac:dyDescent="0.2">
      <c r="A180" s="3"/>
      <c r="B180" s="4" t="s">
        <v>204</v>
      </c>
      <c r="C180" s="4" t="str">
        <f>"ULTRA FINE 3"</f>
        <v>ULTRA FINE 3</v>
      </c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6"/>
      <c r="AC180" s="5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11">
        <f t="shared" si="7"/>
        <v>0</v>
      </c>
      <c r="AW180" s="38" t="s">
        <v>7</v>
      </c>
      <c r="AX180" s="6"/>
      <c r="AZ180" s="2"/>
    </row>
    <row r="181" spans="1:52" s="2" customFormat="1" hidden="1" x14ac:dyDescent="0.2">
      <c r="A181" s="3"/>
      <c r="B181" s="4" t="s">
        <v>204</v>
      </c>
      <c r="C181" s="4" t="str">
        <f>"18X25 MM"</f>
        <v>18X25 MM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6"/>
      <c r="AC181" s="5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11">
        <f t="shared" si="7"/>
        <v>0</v>
      </c>
      <c r="AW181" s="38" t="s">
        <v>7</v>
      </c>
      <c r="AX181" s="11"/>
    </row>
    <row r="182" spans="1:52" s="2" customFormat="1" hidden="1" x14ac:dyDescent="0.2">
      <c r="A182" s="3"/>
      <c r="B182" s="4" t="s">
        <v>204</v>
      </c>
      <c r="C182" s="4" t="str">
        <f>"20X32 MM"</f>
        <v>20X32 MM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6"/>
      <c r="AC182" s="5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11">
        <f t="shared" si="7"/>
        <v>0</v>
      </c>
      <c r="AW182" s="38" t="s">
        <v>7</v>
      </c>
      <c r="AX182" s="11"/>
      <c r="AZ182" s="4"/>
    </row>
    <row r="183" spans="1:52" s="4" customFormat="1" hidden="1" x14ac:dyDescent="0.2">
      <c r="A183" s="3"/>
      <c r="B183" s="4" t="s">
        <v>204</v>
      </c>
      <c r="C183" s="4" t="str">
        <f>"PÁTRIA"</f>
        <v>PÁTRIA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6"/>
      <c r="AC183" s="5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11">
        <f t="shared" si="7"/>
        <v>0</v>
      </c>
      <c r="AW183" s="38" t="s">
        <v>7</v>
      </c>
      <c r="AX183" s="6"/>
      <c r="AZ183" s="2"/>
    </row>
    <row r="184" spans="1:52" s="2" customFormat="1" hidden="1" x14ac:dyDescent="0.2">
      <c r="A184" s="3"/>
      <c r="B184" s="4" t="s">
        <v>204</v>
      </c>
      <c r="C184" s="4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6"/>
      <c r="AC184" s="5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11">
        <f t="shared" si="7"/>
        <v>0</v>
      </c>
      <c r="AW184" s="38" t="s">
        <v>7</v>
      </c>
      <c r="AX184" s="11"/>
    </row>
    <row r="185" spans="1:52" s="2" customFormat="1" x14ac:dyDescent="0.2">
      <c r="A185" s="3" t="s">
        <v>146</v>
      </c>
      <c r="B185" s="2" t="s">
        <v>206</v>
      </c>
      <c r="D185" s="6">
        <v>5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6"/>
      <c r="AC185" s="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>
        <v>2</v>
      </c>
      <c r="AU185" s="6"/>
      <c r="AV185" s="11">
        <f t="shared" si="7"/>
        <v>7</v>
      </c>
      <c r="AW185" s="38" t="s">
        <v>94</v>
      </c>
      <c r="AX185" s="11"/>
    </row>
    <row r="186" spans="1:52" s="2" customFormat="1" x14ac:dyDescent="0.2">
      <c r="A186" s="3" t="s">
        <v>147</v>
      </c>
      <c r="B186" s="4" t="s">
        <v>208</v>
      </c>
      <c r="C186" s="4" t="s">
        <v>209</v>
      </c>
      <c r="D186" s="6"/>
      <c r="E186" s="6"/>
      <c r="F186" s="6"/>
      <c r="G186" s="6"/>
      <c r="H186" s="6"/>
      <c r="I186" s="6">
        <v>10</v>
      </c>
      <c r="J186" s="6"/>
      <c r="K186" s="6">
        <v>3</v>
      </c>
      <c r="L186" s="6"/>
      <c r="M186" s="6"/>
      <c r="N186" s="6">
        <v>1</v>
      </c>
      <c r="O186" s="6"/>
      <c r="P186" s="6"/>
      <c r="Q186" s="6"/>
      <c r="R186" s="6">
        <v>2</v>
      </c>
      <c r="S186" s="7"/>
      <c r="T186" s="6"/>
      <c r="U186" s="6"/>
      <c r="V186" s="6"/>
      <c r="W186" s="6"/>
      <c r="X186" s="6"/>
      <c r="Y186" s="6"/>
      <c r="Z186" s="6"/>
      <c r="AA186" s="6"/>
      <c r="AB186" s="6"/>
      <c r="AC186" s="5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>
        <v>10</v>
      </c>
      <c r="AO186" s="6"/>
      <c r="AP186" s="6"/>
      <c r="AQ186" s="6"/>
      <c r="AR186" s="6"/>
      <c r="AS186" s="6"/>
      <c r="AT186" s="6">
        <v>1</v>
      </c>
      <c r="AU186" s="6"/>
      <c r="AV186" s="11">
        <f t="shared" si="7"/>
        <v>27</v>
      </c>
      <c r="AW186" s="38" t="s">
        <v>94</v>
      </c>
      <c r="AX186" s="11"/>
    </row>
    <row r="187" spans="1:52" s="2" customFormat="1" x14ac:dyDescent="0.2">
      <c r="A187" s="3" t="s">
        <v>150</v>
      </c>
      <c r="B187" s="4" t="s">
        <v>211</v>
      </c>
      <c r="C187" s="4" t="s">
        <v>212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>
        <v>1</v>
      </c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6"/>
      <c r="AC187" s="5"/>
      <c r="AD187" s="6"/>
      <c r="AE187" s="6"/>
      <c r="AF187" s="6"/>
      <c r="AG187" s="6">
        <v>2</v>
      </c>
      <c r="AH187" s="6">
        <v>2</v>
      </c>
      <c r="AI187" s="6">
        <v>4</v>
      </c>
      <c r="AJ187" s="6">
        <v>2</v>
      </c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11">
        <f t="shared" si="7"/>
        <v>11</v>
      </c>
      <c r="AW187" s="38" t="s">
        <v>7</v>
      </c>
      <c r="AX187" s="11"/>
    </row>
    <row r="188" spans="1:52" s="2" customFormat="1" x14ac:dyDescent="0.2">
      <c r="A188" s="3" t="s">
        <v>153</v>
      </c>
      <c r="B188" s="4" t="s">
        <v>214</v>
      </c>
      <c r="C188" s="4" t="s">
        <v>215</v>
      </c>
      <c r="D188" s="6"/>
      <c r="E188" s="6"/>
      <c r="F188" s="6">
        <v>1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6"/>
      <c r="AC188" s="5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11">
        <f t="shared" si="7"/>
        <v>1</v>
      </c>
      <c r="AW188" s="38" t="s">
        <v>7</v>
      </c>
      <c r="AX188" s="11"/>
    </row>
    <row r="189" spans="1:52" s="2" customFormat="1" x14ac:dyDescent="0.2">
      <c r="A189" s="3" t="s">
        <v>156</v>
      </c>
      <c r="B189" s="4" t="s">
        <v>204</v>
      </c>
      <c r="C189" s="4" t="s">
        <v>218</v>
      </c>
      <c r="D189" s="6">
        <v>4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6"/>
      <c r="AC189" s="5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>
        <v>1</v>
      </c>
      <c r="AT189" s="6"/>
      <c r="AU189" s="6"/>
      <c r="AV189" s="11">
        <f t="shared" si="7"/>
        <v>5</v>
      </c>
      <c r="AW189" s="38" t="s">
        <v>7</v>
      </c>
      <c r="AX189" s="11"/>
    </row>
    <row r="190" spans="1:52" s="2" customFormat="1" x14ac:dyDescent="0.2">
      <c r="A190" s="3" t="s">
        <v>157</v>
      </c>
      <c r="B190" s="4" t="s">
        <v>204</v>
      </c>
      <c r="C190" s="4" t="s">
        <v>220</v>
      </c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>
        <v>5</v>
      </c>
      <c r="AH190" s="6">
        <v>5</v>
      </c>
      <c r="AI190" s="6">
        <v>5</v>
      </c>
      <c r="AJ190" s="6">
        <v>5</v>
      </c>
      <c r="AK190" s="6"/>
      <c r="AL190" s="6"/>
      <c r="AM190" s="6"/>
      <c r="AN190" s="6"/>
      <c r="AO190" s="6"/>
      <c r="AP190" s="6"/>
      <c r="AQ190" s="6"/>
      <c r="AR190" s="6"/>
      <c r="AS190" s="6"/>
      <c r="AT190" s="6">
        <v>1</v>
      </c>
      <c r="AU190" s="6"/>
      <c r="AV190" s="11">
        <f t="shared" si="7"/>
        <v>21</v>
      </c>
      <c r="AW190" s="38" t="s">
        <v>7</v>
      </c>
      <c r="AX190" s="11"/>
    </row>
    <row r="191" spans="1:52" s="4" customFormat="1" hidden="1" x14ac:dyDescent="0.2">
      <c r="A191" s="3"/>
      <c r="B191" s="2" t="s">
        <v>221</v>
      </c>
      <c r="C191" s="2" t="s">
        <v>222</v>
      </c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6"/>
      <c r="AC191" s="5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11">
        <f t="shared" si="7"/>
        <v>0</v>
      </c>
      <c r="AW191" s="38" t="s">
        <v>7</v>
      </c>
      <c r="AX191" s="6"/>
    </row>
    <row r="192" spans="1:52" s="4" customFormat="1" hidden="1" x14ac:dyDescent="0.2">
      <c r="A192" s="3"/>
      <c r="B192" s="2" t="s">
        <v>221</v>
      </c>
      <c r="C192" s="2" t="s">
        <v>222</v>
      </c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6"/>
      <c r="AC192" s="5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11">
        <f t="shared" si="7"/>
        <v>0</v>
      </c>
      <c r="AW192" s="38" t="s">
        <v>7</v>
      </c>
      <c r="AX192" s="6"/>
    </row>
    <row r="193" spans="1:52" s="4" customFormat="1" hidden="1" x14ac:dyDescent="0.2">
      <c r="A193" s="3"/>
      <c r="B193" s="2" t="s">
        <v>221</v>
      </c>
      <c r="C193" s="2" t="s">
        <v>222</v>
      </c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6"/>
      <c r="AC193" s="5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11">
        <f t="shared" si="7"/>
        <v>0</v>
      </c>
      <c r="AW193" s="38" t="s">
        <v>7</v>
      </c>
      <c r="AX193" s="6"/>
      <c r="AZ193" s="2"/>
    </row>
    <row r="194" spans="1:52" s="2" customFormat="1" hidden="1" x14ac:dyDescent="0.2">
      <c r="A194" s="3"/>
      <c r="B194" s="2" t="s">
        <v>221</v>
      </c>
      <c r="C194" s="2" t="s">
        <v>222</v>
      </c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6"/>
      <c r="AC194" s="5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11">
        <f t="shared" si="7"/>
        <v>0</v>
      </c>
      <c r="AW194" s="38" t="s">
        <v>7</v>
      </c>
      <c r="AX194" s="11"/>
      <c r="AZ194" s="4"/>
    </row>
    <row r="195" spans="1:52" s="2" customFormat="1" x14ac:dyDescent="0.2">
      <c r="A195" s="3" t="s">
        <v>158</v>
      </c>
      <c r="B195" s="2" t="s">
        <v>224</v>
      </c>
      <c r="C195" s="2" t="s">
        <v>225</v>
      </c>
      <c r="D195" s="5"/>
      <c r="F195" s="26"/>
      <c r="G195" s="5"/>
      <c r="H195" s="5"/>
      <c r="I195" s="6">
        <v>5</v>
      </c>
      <c r="J195" s="6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6"/>
      <c r="AC195" s="5"/>
      <c r="AD195" s="6"/>
      <c r="AE195" s="6"/>
      <c r="AF195" s="6"/>
      <c r="AG195" s="6"/>
      <c r="AH195" s="5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>
        <v>5</v>
      </c>
      <c r="AU195" s="6"/>
      <c r="AV195" s="11">
        <f t="shared" si="7"/>
        <v>10</v>
      </c>
      <c r="AW195" s="38" t="s">
        <v>7</v>
      </c>
      <c r="AX195" s="11"/>
      <c r="AZ195" s="4"/>
    </row>
    <row r="196" spans="1:52" s="2" customFormat="1" x14ac:dyDescent="0.2">
      <c r="A196" s="3" t="s">
        <v>159</v>
      </c>
      <c r="B196" s="2" t="s">
        <v>224</v>
      </c>
      <c r="C196" s="2" t="s">
        <v>227</v>
      </c>
      <c r="D196" s="6"/>
      <c r="F196" s="26"/>
      <c r="G196" s="6"/>
      <c r="H196" s="6"/>
      <c r="I196" s="6">
        <v>5</v>
      </c>
      <c r="J196" s="6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6"/>
      <c r="AC196" s="5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11">
        <f t="shared" si="7"/>
        <v>5</v>
      </c>
      <c r="AW196" s="38" t="s">
        <v>7</v>
      </c>
      <c r="AX196" s="11"/>
      <c r="AZ196" s="4"/>
    </row>
    <row r="197" spans="1:52" s="2" customFormat="1" x14ac:dyDescent="0.2">
      <c r="A197" s="3" t="s">
        <v>161</v>
      </c>
      <c r="B197" s="2" t="s">
        <v>224</v>
      </c>
      <c r="C197" s="2" t="s">
        <v>229</v>
      </c>
      <c r="D197" s="6"/>
      <c r="F197" s="6">
        <v>3</v>
      </c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6"/>
      <c r="AC197" s="5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11">
        <f t="shared" si="7"/>
        <v>3</v>
      </c>
      <c r="AW197" s="38" t="s">
        <v>7</v>
      </c>
      <c r="AX197" s="11"/>
    </row>
    <row r="198" spans="1:52" s="4" customFormat="1" x14ac:dyDescent="0.2">
      <c r="A198" s="3" t="s">
        <v>164</v>
      </c>
      <c r="B198" s="2" t="s">
        <v>231</v>
      </c>
      <c r="C198" s="2" t="s">
        <v>232</v>
      </c>
      <c r="D198" s="6">
        <v>3</v>
      </c>
      <c r="F198" s="6">
        <v>3</v>
      </c>
      <c r="G198" s="6"/>
      <c r="H198" s="6"/>
      <c r="I198" s="6"/>
      <c r="J198" s="6"/>
      <c r="K198" s="6"/>
      <c r="L198" s="6"/>
      <c r="M198" s="6"/>
      <c r="N198" s="6">
        <v>1</v>
      </c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6"/>
      <c r="AC198" s="5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11">
        <f t="shared" si="7"/>
        <v>7</v>
      </c>
      <c r="AW198" s="38" t="s">
        <v>7</v>
      </c>
      <c r="AX198" s="6"/>
      <c r="AZ198" s="2"/>
    </row>
    <row r="199" spans="1:52" s="2" customFormat="1" hidden="1" x14ac:dyDescent="0.2">
      <c r="A199" s="3"/>
      <c r="B199" s="4" t="str">
        <f>"TÁBLATŰ"</f>
        <v>TÁBLATŰ</v>
      </c>
      <c r="C199" s="4"/>
      <c r="D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6"/>
      <c r="AC199" s="5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11">
        <f t="shared" si="7"/>
        <v>0</v>
      </c>
      <c r="AW199" s="38"/>
      <c r="AX199" s="11"/>
    </row>
    <row r="200" spans="1:52" s="2" customFormat="1" hidden="1" x14ac:dyDescent="0.2">
      <c r="A200" s="3"/>
      <c r="B200" s="4" t="str">
        <f>"TASAK"</f>
        <v>TASAK</v>
      </c>
      <c r="C200" s="4"/>
      <c r="D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6"/>
      <c r="AC200" s="5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11">
        <f t="shared" si="7"/>
        <v>0</v>
      </c>
      <c r="AW200" s="38"/>
      <c r="AX200" s="11"/>
    </row>
    <row r="201" spans="1:52" s="2" customFormat="1" hidden="1" x14ac:dyDescent="0.2">
      <c r="A201" s="3"/>
      <c r="B201" s="4" t="str">
        <f>"TASAK (CIPZÁRAS)"</f>
        <v>TASAK (CIPZÁRAS)</v>
      </c>
      <c r="C201" s="4" t="str">
        <f>"A/4"</f>
        <v>A/4</v>
      </c>
      <c r="D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6"/>
      <c r="AC201" s="5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11">
        <f t="shared" si="7"/>
        <v>0</v>
      </c>
      <c r="AW201" s="38"/>
      <c r="AX201" s="11"/>
    </row>
    <row r="202" spans="1:52" s="2" customFormat="1" hidden="1" x14ac:dyDescent="0.2">
      <c r="A202" s="3"/>
      <c r="B202" s="4" t="str">
        <f>"TASAK (CIPZÁRAS)"</f>
        <v>TASAK (CIPZÁRAS)</v>
      </c>
      <c r="C202" s="4" t="str">
        <f>"A/5"</f>
        <v>A/5</v>
      </c>
      <c r="D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6"/>
      <c r="AC202" s="5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11">
        <f t="shared" si="7"/>
        <v>0</v>
      </c>
      <c r="AW202" s="38"/>
      <c r="AX202" s="11"/>
      <c r="AZ202" s="4"/>
    </row>
    <row r="203" spans="1:52" s="4" customFormat="1" hidden="1" x14ac:dyDescent="0.2">
      <c r="A203" s="3"/>
      <c r="B203" s="4" t="str">
        <f>"TB NAPTÁR"</f>
        <v>TB NAPTÁR</v>
      </c>
      <c r="D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6"/>
      <c r="AC203" s="5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11">
        <f t="shared" si="7"/>
        <v>0</v>
      </c>
      <c r="AW203" s="51"/>
      <c r="AX203" s="6"/>
      <c r="AZ203" s="2"/>
    </row>
    <row r="204" spans="1:52" s="2" customFormat="1" hidden="1" x14ac:dyDescent="0.2">
      <c r="A204" s="3"/>
      <c r="B204" s="4" t="str">
        <f>"TELEFONBLOKK"</f>
        <v>TELEFONBLOKK</v>
      </c>
      <c r="C204" s="4"/>
      <c r="D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6"/>
      <c r="AC204" s="5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11">
        <f t="shared" si="7"/>
        <v>0</v>
      </c>
      <c r="AW204" s="38"/>
      <c r="AX204" s="11"/>
    </row>
    <row r="205" spans="1:52" s="2" customFormat="1" hidden="1" x14ac:dyDescent="0.2">
      <c r="A205" s="3"/>
      <c r="B205" s="4" t="str">
        <f>"TÉPŐTÖMB (FEHÉR)"</f>
        <v>TÉPŐTÖMB (FEHÉR)</v>
      </c>
      <c r="C205" s="4" t="str">
        <f>"009X009 CM"</f>
        <v>009X009 CM</v>
      </c>
      <c r="D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6"/>
      <c r="AC205" s="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11">
        <f t="shared" si="7"/>
        <v>0</v>
      </c>
      <c r="AW205" s="38"/>
      <c r="AX205" s="11"/>
    </row>
    <row r="206" spans="1:52" s="2" customFormat="1" x14ac:dyDescent="0.2">
      <c r="A206" s="3" t="s">
        <v>167</v>
      </c>
      <c r="B206" s="4" t="str">
        <f>"RADÍR"</f>
        <v>RADÍR</v>
      </c>
      <c r="C206" s="4" t="str">
        <f>"TIKKY 20"</f>
        <v>TIKKY 20</v>
      </c>
      <c r="D206" s="6">
        <v>5</v>
      </c>
      <c r="F206" s="6"/>
      <c r="G206" s="6"/>
      <c r="H206" s="6"/>
      <c r="I206" s="6">
        <v>1</v>
      </c>
      <c r="J206" s="6"/>
      <c r="K206" s="6"/>
      <c r="L206" s="6"/>
      <c r="M206" s="6"/>
      <c r="N206" s="6">
        <v>1</v>
      </c>
      <c r="O206" s="6"/>
      <c r="P206" s="6"/>
      <c r="Q206" s="6"/>
      <c r="R206" s="6">
        <v>2</v>
      </c>
      <c r="S206" s="7"/>
      <c r="T206" s="6"/>
      <c r="U206" s="6"/>
      <c r="V206" s="6"/>
      <c r="W206" s="6"/>
      <c r="X206" s="6"/>
      <c r="Y206" s="6"/>
      <c r="Z206" s="6"/>
      <c r="AA206" s="6"/>
      <c r="AB206" s="6"/>
      <c r="AC206" s="5"/>
      <c r="AD206" s="6"/>
      <c r="AE206" s="6"/>
      <c r="AF206" s="6"/>
      <c r="AG206" s="6"/>
      <c r="AH206" s="6"/>
      <c r="AI206" s="6">
        <v>2</v>
      </c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11">
        <f t="shared" si="7"/>
        <v>11</v>
      </c>
      <c r="AW206" s="38" t="s">
        <v>7</v>
      </c>
      <c r="AX206" s="11"/>
    </row>
    <row r="207" spans="1:52" s="2" customFormat="1" x14ac:dyDescent="0.2">
      <c r="A207" s="3" t="s">
        <v>170</v>
      </c>
      <c r="B207" s="4" t="s">
        <v>235</v>
      </c>
      <c r="C207" s="4"/>
      <c r="D207" s="6">
        <v>20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6"/>
      <c r="AC207" s="5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>
        <v>2</v>
      </c>
      <c r="AU207" s="6"/>
      <c r="AV207" s="11">
        <f t="shared" si="7"/>
        <v>22</v>
      </c>
      <c r="AW207" s="38" t="s">
        <v>7</v>
      </c>
      <c r="AX207" s="11"/>
    </row>
    <row r="208" spans="1:52" s="2" customFormat="1" hidden="1" x14ac:dyDescent="0.2">
      <c r="A208" s="3"/>
      <c r="B208" s="4" t="s">
        <v>236</v>
      </c>
      <c r="C208" s="4" t="str">
        <f>"051X038 MM"</f>
        <v>051X038 MM</v>
      </c>
      <c r="D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6"/>
      <c r="AC208" s="5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11">
        <f t="shared" si="7"/>
        <v>0</v>
      </c>
      <c r="AW208" s="38" t="s">
        <v>7</v>
      </c>
      <c r="AX208" s="11"/>
    </row>
    <row r="209" spans="1:52" s="2" customFormat="1" hidden="1" x14ac:dyDescent="0.2">
      <c r="A209" s="3"/>
      <c r="B209" s="4" t="s">
        <v>238</v>
      </c>
      <c r="C209" s="4" t="str">
        <f>"127X075 MM"</f>
        <v>127X075 MM</v>
      </c>
      <c r="D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6"/>
      <c r="AC209" s="5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11">
        <f t="shared" si="7"/>
        <v>0</v>
      </c>
      <c r="AW209" s="38" t="s">
        <v>7</v>
      </c>
      <c r="AX209" s="11"/>
    </row>
    <row r="210" spans="1:52" s="2" customFormat="1" hidden="1" x14ac:dyDescent="0.2">
      <c r="A210" s="3"/>
      <c r="B210" s="4" t="str">
        <f>"TÉPŐTÖMB (SZÍNES-CSAVART)"</f>
        <v>TÉPŐTÖMB (SZÍNES-CSAVART)</v>
      </c>
      <c r="C210" s="4" t="str">
        <f>"010X010 MM"</f>
        <v>010X010 MM</v>
      </c>
      <c r="D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5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11">
        <f t="shared" si="7"/>
        <v>0</v>
      </c>
      <c r="AW210" s="38" t="s">
        <v>7</v>
      </c>
      <c r="AX210" s="11"/>
    </row>
    <row r="211" spans="1:52" s="2" customFormat="1" hidden="1" x14ac:dyDescent="0.2">
      <c r="A211" s="3"/>
      <c r="B211" s="4" t="str">
        <f>"TÉRKÉPTŰ"</f>
        <v>TÉRKÉPTŰ</v>
      </c>
      <c r="C211" s="4" t="str">
        <f>"SAKOTA"</f>
        <v>SAKOTA</v>
      </c>
      <c r="D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6"/>
      <c r="AC211" s="5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11">
        <f t="shared" si="7"/>
        <v>0</v>
      </c>
      <c r="AW211" s="38" t="s">
        <v>7</v>
      </c>
      <c r="AX211" s="11"/>
      <c r="AZ211" s="4"/>
    </row>
    <row r="212" spans="1:52" s="4" customFormat="1" hidden="1" x14ac:dyDescent="0.2">
      <c r="A212" s="3"/>
      <c r="B212" s="4" t="str">
        <f>"TÖLTŐTOLL PATRON"</f>
        <v>TÖLTŐTOLL PATRON</v>
      </c>
      <c r="C212" s="4" t="str">
        <f>"PAX"</f>
        <v>PAX</v>
      </c>
      <c r="D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6"/>
      <c r="AC212" s="5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11">
        <f t="shared" si="7"/>
        <v>0</v>
      </c>
      <c r="AW212" s="38" t="s">
        <v>7</v>
      </c>
      <c r="AX212" s="6"/>
    </row>
    <row r="213" spans="1:52" s="4" customFormat="1" hidden="1" x14ac:dyDescent="0.2">
      <c r="A213" s="3"/>
      <c r="B213" s="4" t="str">
        <f>"TUSTINTA (ROTRING)"</f>
        <v>TUSTINTA (ROTRING)</v>
      </c>
      <c r="D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6"/>
      <c r="AC213" s="5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11">
        <f t="shared" si="7"/>
        <v>0</v>
      </c>
      <c r="AW213" s="38" t="s">
        <v>7</v>
      </c>
      <c r="AX213" s="6"/>
      <c r="AZ213" s="2"/>
    </row>
    <row r="214" spans="1:52" s="2" customFormat="1" hidden="1" x14ac:dyDescent="0.2">
      <c r="A214" s="3"/>
      <c r="B214" s="4" t="s">
        <v>239</v>
      </c>
      <c r="C214" s="4" t="str">
        <f>"DELI NO. 0327"</f>
        <v>DELI NO. 0327</v>
      </c>
      <c r="D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6"/>
      <c r="AC214" s="5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11">
        <f t="shared" si="7"/>
        <v>0</v>
      </c>
      <c r="AW214" s="38" t="s">
        <v>7</v>
      </c>
      <c r="AX214" s="11"/>
    </row>
    <row r="215" spans="1:52" s="2" customFormat="1" x14ac:dyDescent="0.2">
      <c r="A215" s="3" t="s">
        <v>172</v>
      </c>
      <c r="B215" s="4" t="str">
        <f>"RAGASZTÓ STIFT"</f>
        <v>RAGASZTÓ STIFT</v>
      </c>
      <c r="C215" s="4" t="s">
        <v>241</v>
      </c>
      <c r="D215" s="6"/>
      <c r="F215" s="6"/>
      <c r="G215" s="6"/>
      <c r="H215" s="6"/>
      <c r="I215" s="6">
        <v>1</v>
      </c>
      <c r="J215" s="6"/>
      <c r="K215" s="6"/>
      <c r="L215" s="6"/>
      <c r="M215" s="6"/>
      <c r="N215" s="6"/>
      <c r="O215" s="6"/>
      <c r="P215" s="6"/>
      <c r="Q215" s="6"/>
      <c r="R215" s="6">
        <v>2</v>
      </c>
      <c r="S215" s="7"/>
      <c r="T215" s="6"/>
      <c r="U215" s="6"/>
      <c r="V215" s="6"/>
      <c r="W215" s="6"/>
      <c r="X215" s="6"/>
      <c r="Y215" s="6"/>
      <c r="Z215" s="6"/>
      <c r="AA215" s="6"/>
      <c r="AB215" s="6"/>
      <c r="AC215" s="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11">
        <f t="shared" si="7"/>
        <v>3</v>
      </c>
      <c r="AW215" s="38" t="s">
        <v>7</v>
      </c>
      <c r="AX215" s="11"/>
    </row>
    <row r="216" spans="1:52" s="2" customFormat="1" x14ac:dyDescent="0.2">
      <c r="A216" s="3" t="s">
        <v>174</v>
      </c>
      <c r="B216" s="4" t="str">
        <f>"RAGASZTÓ SZALAG (CELLUX)"</f>
        <v>RAGASZTÓ SZALAG (CELLUX)</v>
      </c>
      <c r="C216" s="4" t="str">
        <f>"KIS TEKERCS"</f>
        <v>KIS TEKERCS</v>
      </c>
      <c r="D216" s="6">
        <v>10</v>
      </c>
      <c r="F216" s="6"/>
      <c r="G216" s="6"/>
      <c r="H216" s="6"/>
      <c r="I216" s="6">
        <v>1</v>
      </c>
      <c r="J216" s="6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6"/>
      <c r="AC216" s="5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>
        <v>3</v>
      </c>
      <c r="AO216" s="6"/>
      <c r="AP216" s="6"/>
      <c r="AQ216" s="6"/>
      <c r="AR216" s="6"/>
      <c r="AS216" s="6"/>
      <c r="AT216" s="6"/>
      <c r="AU216" s="6"/>
      <c r="AV216" s="11">
        <f t="shared" si="7"/>
        <v>14</v>
      </c>
      <c r="AW216" s="38" t="s">
        <v>3</v>
      </c>
      <c r="AX216" s="11"/>
    </row>
    <row r="217" spans="1:52" s="2" customFormat="1" x14ac:dyDescent="0.2">
      <c r="A217" s="3" t="s">
        <v>176</v>
      </c>
      <c r="B217" s="4" t="str">
        <f>"RAGASZTÓ SZALAG (CELLUX)"</f>
        <v>RAGASZTÓ SZALAG (CELLUX)</v>
      </c>
      <c r="C217" s="4" t="str">
        <f>"KÖZEPES TEKERCS"</f>
        <v>KÖZEPES TEKERCS</v>
      </c>
      <c r="D217" s="6"/>
      <c r="F217" s="6">
        <v>10</v>
      </c>
      <c r="G217" s="6"/>
      <c r="H217" s="6"/>
      <c r="I217" s="6">
        <v>1</v>
      </c>
      <c r="J217" s="6"/>
      <c r="K217" s="6"/>
      <c r="L217" s="6"/>
      <c r="M217" s="6"/>
      <c r="N217" s="6"/>
      <c r="O217" s="6"/>
      <c r="P217" s="6"/>
      <c r="Q217" s="6"/>
      <c r="R217" s="6">
        <v>2</v>
      </c>
      <c r="S217" s="7"/>
      <c r="T217" s="6"/>
      <c r="U217" s="6"/>
      <c r="V217" s="6"/>
      <c r="W217" s="6"/>
      <c r="X217" s="6"/>
      <c r="Y217" s="6"/>
      <c r="Z217" s="6"/>
      <c r="AA217" s="6"/>
      <c r="AB217" s="6"/>
      <c r="AC217" s="5"/>
      <c r="AD217" s="6"/>
      <c r="AE217" s="6"/>
      <c r="AF217" s="6"/>
      <c r="AG217" s="6">
        <v>1</v>
      </c>
      <c r="AH217" s="6">
        <v>1</v>
      </c>
      <c r="AI217" s="6">
        <v>1</v>
      </c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11">
        <f t="shared" si="7"/>
        <v>16</v>
      </c>
      <c r="AW217" s="38" t="s">
        <v>7</v>
      </c>
      <c r="AX217" s="11"/>
    </row>
    <row r="218" spans="1:52" s="2" customFormat="1" hidden="1" x14ac:dyDescent="0.2">
      <c r="A218" s="3"/>
      <c r="B218" s="4" t="s">
        <v>239</v>
      </c>
      <c r="C218" s="4" t="str">
        <f>"MAPED VIVO"</f>
        <v>MAPED VIVO</v>
      </c>
      <c r="D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6"/>
      <c r="AC218" s="5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11">
        <f t="shared" si="7"/>
        <v>0</v>
      </c>
      <c r="AW218" s="38"/>
      <c r="AX218" s="11"/>
    </row>
    <row r="219" spans="1:52" s="2" customFormat="1" hidden="1" x14ac:dyDescent="0.2">
      <c r="A219" s="3"/>
      <c r="B219" s="4" t="s">
        <v>239</v>
      </c>
      <c r="C219" s="4" t="str">
        <f>"REXEL ACCO"</f>
        <v>REXEL ACCO</v>
      </c>
      <c r="D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6"/>
      <c r="AC219" s="5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11">
        <f t="shared" si="7"/>
        <v>0</v>
      </c>
      <c r="AW219" s="38"/>
      <c r="AX219" s="11"/>
    </row>
    <row r="220" spans="1:52" s="2" customFormat="1" hidden="1" x14ac:dyDescent="0.2">
      <c r="A220" s="3"/>
      <c r="B220" s="4" t="s">
        <v>239</v>
      </c>
      <c r="C220" s="4" t="str">
        <f>"TRAPER"</f>
        <v>TRAPER</v>
      </c>
      <c r="D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6"/>
      <c r="AC220" s="5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11">
        <f t="shared" si="7"/>
        <v>0</v>
      </c>
      <c r="AW220" s="38"/>
      <c r="AX220" s="11"/>
    </row>
    <row r="221" spans="1:52" s="2" customFormat="1" hidden="1" x14ac:dyDescent="0.2">
      <c r="A221" s="3"/>
      <c r="B221" s="4" t="s">
        <v>239</v>
      </c>
      <c r="C221" s="4" t="s">
        <v>244</v>
      </c>
      <c r="D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6"/>
      <c r="AC221" s="5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11">
        <f t="shared" si="7"/>
        <v>0</v>
      </c>
      <c r="AW221" s="38"/>
      <c r="AX221" s="11"/>
    </row>
    <row r="222" spans="1:52" s="2" customFormat="1" hidden="1" x14ac:dyDescent="0.2">
      <c r="A222" s="3"/>
      <c r="B222" s="4" t="s">
        <v>245</v>
      </c>
      <c r="C222" s="4" t="s">
        <v>246</v>
      </c>
      <c r="D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6"/>
      <c r="AC222" s="5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11">
        <f t="shared" si="7"/>
        <v>0</v>
      </c>
      <c r="AW222" s="38"/>
      <c r="AX222" s="11"/>
    </row>
    <row r="223" spans="1:52" s="2" customFormat="1" hidden="1" x14ac:dyDescent="0.2">
      <c r="A223" s="3"/>
      <c r="B223" s="4" t="s">
        <v>247</v>
      </c>
      <c r="C223" s="4" t="str">
        <f>"23/8"</f>
        <v>23/8</v>
      </c>
      <c r="D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6"/>
      <c r="AC223" s="5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11">
        <f t="shared" si="7"/>
        <v>0</v>
      </c>
      <c r="AW223" s="38"/>
      <c r="AX223" s="11"/>
    </row>
    <row r="224" spans="1:52" s="2" customFormat="1" hidden="1" x14ac:dyDescent="0.2">
      <c r="A224" s="3"/>
      <c r="B224" s="4" t="s">
        <v>247</v>
      </c>
      <c r="C224" s="4" t="str">
        <f>"23/13"</f>
        <v>23/13</v>
      </c>
      <c r="D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6"/>
      <c r="AC224" s="5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11">
        <f t="shared" si="7"/>
        <v>0</v>
      </c>
      <c r="AW224" s="38"/>
      <c r="AX224" s="11"/>
    </row>
    <row r="225" spans="1:52" s="2" customFormat="1" hidden="1" x14ac:dyDescent="0.2">
      <c r="A225" s="3"/>
      <c r="B225" s="4" t="s">
        <v>247</v>
      </c>
      <c r="C225" s="19">
        <v>14</v>
      </c>
      <c r="D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6"/>
      <c r="AC225" s="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11">
        <f t="shared" si="7"/>
        <v>0</v>
      </c>
      <c r="AW225" s="38"/>
      <c r="AX225" s="11"/>
      <c r="AZ225" s="4"/>
    </row>
    <row r="226" spans="1:52" s="4" customFormat="1" hidden="1" x14ac:dyDescent="0.2">
      <c r="A226" s="3"/>
      <c r="B226" s="4" t="s">
        <v>247</v>
      </c>
      <c r="D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6"/>
      <c r="AC226" s="5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11">
        <f t="shared" si="7"/>
        <v>0</v>
      </c>
      <c r="AW226" s="38"/>
      <c r="AX226" s="6"/>
    </row>
    <row r="227" spans="1:52" s="4" customFormat="1" hidden="1" x14ac:dyDescent="0.2">
      <c r="A227" s="3"/>
      <c r="B227" s="4" t="s">
        <v>247</v>
      </c>
      <c r="D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6"/>
      <c r="AC227" s="5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11">
        <f t="shared" si="7"/>
        <v>0</v>
      </c>
      <c r="AW227" s="38"/>
      <c r="AX227" s="6"/>
    </row>
    <row r="228" spans="1:52" s="4" customFormat="1" hidden="1" x14ac:dyDescent="0.2">
      <c r="A228" s="3"/>
      <c r="B228" s="4" t="s">
        <v>247</v>
      </c>
      <c r="D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6"/>
      <c r="AC228" s="5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11">
        <f t="shared" si="7"/>
        <v>0</v>
      </c>
      <c r="AW228" s="38"/>
      <c r="AX228" s="6"/>
    </row>
    <row r="229" spans="1:52" s="4" customFormat="1" hidden="1" x14ac:dyDescent="0.2">
      <c r="A229" s="3"/>
      <c r="B229" s="4" t="s">
        <v>247</v>
      </c>
      <c r="C229" s="4" t="str">
        <f>"A/4 25X4"</f>
        <v>A/4 25X4</v>
      </c>
      <c r="D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6"/>
      <c r="AC229" s="5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11">
        <f t="shared" si="7"/>
        <v>0</v>
      </c>
      <c r="AW229" s="38"/>
      <c r="AX229" s="6"/>
    </row>
    <row r="230" spans="1:52" s="4" customFormat="1" hidden="1" x14ac:dyDescent="0.2">
      <c r="A230" s="3"/>
      <c r="B230" s="4" t="s">
        <v>247</v>
      </c>
      <c r="C230" s="4" t="str">
        <f>"25X2 V.VÁLL 71/V"</f>
        <v>25X2 V.VÁLL 71/V</v>
      </c>
      <c r="D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6"/>
      <c r="AC230" s="5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11">
        <f t="shared" si="7"/>
        <v>0</v>
      </c>
      <c r="AW230" s="38"/>
      <c r="AX230" s="6"/>
    </row>
    <row r="231" spans="1:52" s="4" customFormat="1" hidden="1" x14ac:dyDescent="0.2">
      <c r="A231" s="3"/>
      <c r="B231" s="4" t="s">
        <v>247</v>
      </c>
      <c r="C231" s="4" t="str">
        <f>"PÁTRIA (C.3337-11)"</f>
        <v>PÁTRIA (C.3337-11)</v>
      </c>
      <c r="D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6"/>
      <c r="AC231" s="5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11">
        <f t="shared" si="7"/>
        <v>0</v>
      </c>
      <c r="AW231" s="38"/>
      <c r="AX231" s="6"/>
    </row>
    <row r="232" spans="1:52" s="4" customFormat="1" hidden="1" x14ac:dyDescent="0.2">
      <c r="A232" s="3"/>
      <c r="B232" s="4" t="s">
        <v>247</v>
      </c>
      <c r="D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6"/>
      <c r="AC232" s="5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11">
        <f t="shared" si="7"/>
        <v>0</v>
      </c>
      <c r="AW232" s="38"/>
      <c r="AX232" s="6"/>
    </row>
    <row r="233" spans="1:52" s="4" customFormat="1" hidden="1" x14ac:dyDescent="0.2">
      <c r="A233" s="3"/>
      <c r="B233" s="4" t="s">
        <v>247</v>
      </c>
      <c r="C233" s="4" t="str">
        <f>"A/4"</f>
        <v>A/4</v>
      </c>
      <c r="D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6"/>
      <c r="AC233" s="5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11">
        <f t="shared" si="7"/>
        <v>0</v>
      </c>
      <c r="AW233" s="38"/>
      <c r="AX233" s="6"/>
    </row>
    <row r="234" spans="1:52" s="4" customFormat="1" hidden="1" x14ac:dyDescent="0.2">
      <c r="A234" s="3"/>
      <c r="B234" s="4" t="s">
        <v>247</v>
      </c>
      <c r="C234" s="4" t="str">
        <f>"DVV.1250/ÚJ A/5"</f>
        <v>DVV.1250/ÚJ A/5</v>
      </c>
      <c r="D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6"/>
      <c r="AC234" s="5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11">
        <f t="shared" ref="AV234:AV268" si="8">SUM(D234:AU234)</f>
        <v>0</v>
      </c>
      <c r="AW234" s="38"/>
      <c r="AX234" s="6"/>
    </row>
    <row r="235" spans="1:52" s="4" customFormat="1" hidden="1" x14ac:dyDescent="0.2">
      <c r="A235" s="3"/>
      <c r="B235" s="4" t="s">
        <v>247</v>
      </c>
      <c r="C235" s="4" t="s">
        <v>248</v>
      </c>
      <c r="D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6"/>
      <c r="AC235" s="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11">
        <f t="shared" si="8"/>
        <v>0</v>
      </c>
      <c r="AW235" s="38"/>
      <c r="AX235" s="6"/>
    </row>
    <row r="236" spans="1:52" s="4" customFormat="1" hidden="1" x14ac:dyDescent="0.2">
      <c r="A236" s="3"/>
      <c r="B236" s="4" t="s">
        <v>247</v>
      </c>
      <c r="D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6"/>
      <c r="AC236" s="5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11">
        <f t="shared" si="8"/>
        <v>0</v>
      </c>
      <c r="AW236" s="38"/>
      <c r="AX236" s="6"/>
    </row>
    <row r="237" spans="1:52" s="4" customFormat="1" x14ac:dyDescent="0.2">
      <c r="A237" s="3" t="s">
        <v>178</v>
      </c>
      <c r="B237" s="4" t="s">
        <v>169</v>
      </c>
      <c r="C237" s="4" t="s">
        <v>250</v>
      </c>
      <c r="D237" s="6">
        <v>5</v>
      </c>
      <c r="F237" s="6"/>
      <c r="G237" s="6">
        <v>2</v>
      </c>
      <c r="H237" s="6"/>
      <c r="I237" s="6">
        <v>1</v>
      </c>
      <c r="J237" s="6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6"/>
      <c r="AC237" s="5"/>
      <c r="AD237" s="6"/>
      <c r="AE237" s="6"/>
      <c r="AF237" s="6"/>
      <c r="AG237" s="6"/>
      <c r="AH237" s="6"/>
      <c r="AI237" s="6"/>
      <c r="AJ237" s="6">
        <v>2</v>
      </c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11">
        <f t="shared" si="8"/>
        <v>10</v>
      </c>
      <c r="AW237" s="38" t="s">
        <v>7</v>
      </c>
      <c r="AX237" s="6"/>
    </row>
    <row r="238" spans="1:52" s="4" customFormat="1" x14ac:dyDescent="0.2">
      <c r="A238" s="3" t="s">
        <v>184</v>
      </c>
      <c r="B238" s="4" t="s">
        <v>252</v>
      </c>
      <c r="C238" s="4" t="s">
        <v>253</v>
      </c>
      <c r="D238" s="6">
        <v>5</v>
      </c>
      <c r="F238" s="6"/>
      <c r="G238" s="6">
        <v>1</v>
      </c>
      <c r="H238" s="6"/>
      <c r="I238" s="6">
        <v>1</v>
      </c>
      <c r="J238" s="6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6"/>
      <c r="AC238" s="5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>
        <v>2</v>
      </c>
      <c r="AU238" s="6"/>
      <c r="AV238" s="11">
        <f t="shared" si="8"/>
        <v>9</v>
      </c>
      <c r="AW238" s="38" t="s">
        <v>7</v>
      </c>
      <c r="AX238" s="6"/>
    </row>
    <row r="239" spans="1:52" s="2" customFormat="1" x14ac:dyDescent="0.2">
      <c r="A239" s="3" t="s">
        <v>185</v>
      </c>
      <c r="B239" s="4" t="s">
        <v>255</v>
      </c>
      <c r="C239" s="4" t="s">
        <v>256</v>
      </c>
      <c r="D239" s="6">
        <v>5</v>
      </c>
      <c r="F239" s="6"/>
      <c r="G239" s="6"/>
      <c r="H239" s="6"/>
      <c r="I239" s="6">
        <v>1</v>
      </c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6"/>
      <c r="AC239" s="5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11">
        <f t="shared" si="8"/>
        <v>6</v>
      </c>
      <c r="AW239" s="38" t="s">
        <v>7</v>
      </c>
      <c r="AX239" s="11"/>
    </row>
    <row r="240" spans="1:52" s="2" customFormat="1" x14ac:dyDescent="0.2">
      <c r="A240" s="3" t="s">
        <v>187</v>
      </c>
      <c r="B240" s="4" t="s">
        <v>255</v>
      </c>
      <c r="C240" s="4" t="s">
        <v>257</v>
      </c>
      <c r="D240" s="6">
        <v>5</v>
      </c>
      <c r="F240" s="6">
        <v>10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6"/>
      <c r="AC240" s="5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11">
        <f t="shared" si="8"/>
        <v>15</v>
      </c>
      <c r="AW240" s="38" t="s">
        <v>7</v>
      </c>
      <c r="AX240" s="11"/>
    </row>
    <row r="241" spans="1:52" s="4" customFormat="1" x14ac:dyDescent="0.2">
      <c r="A241" s="3" t="s">
        <v>189</v>
      </c>
      <c r="B241" s="20" t="s">
        <v>255</v>
      </c>
      <c r="C241" s="4" t="s">
        <v>258</v>
      </c>
      <c r="D241" s="6">
        <v>5</v>
      </c>
      <c r="F241" s="6">
        <v>10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6"/>
      <c r="AC241" s="5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11">
        <f t="shared" si="8"/>
        <v>15</v>
      </c>
      <c r="AW241" s="38" t="s">
        <v>7</v>
      </c>
      <c r="AX241" s="6"/>
    </row>
    <row r="242" spans="1:52" s="4" customFormat="1" x14ac:dyDescent="0.2">
      <c r="A242" s="3" t="s">
        <v>190</v>
      </c>
      <c r="B242" s="4" t="s">
        <v>202</v>
      </c>
      <c r="C242" s="4" t="s">
        <v>259</v>
      </c>
      <c r="D242" s="6">
        <v>5</v>
      </c>
      <c r="F242" s="6"/>
      <c r="G242" s="6">
        <v>3</v>
      </c>
      <c r="H242" s="6"/>
      <c r="I242" s="6">
        <v>2</v>
      </c>
      <c r="J242" s="6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6"/>
      <c r="AC242" s="5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11">
        <f t="shared" si="8"/>
        <v>10</v>
      </c>
      <c r="AW242" s="38" t="s">
        <v>7</v>
      </c>
      <c r="AX242" s="6"/>
    </row>
    <row r="243" spans="1:52" s="4" customFormat="1" x14ac:dyDescent="0.2">
      <c r="A243" s="3" t="s">
        <v>191</v>
      </c>
      <c r="B243" s="4" t="s">
        <v>202</v>
      </c>
      <c r="C243" s="4" t="s">
        <v>260</v>
      </c>
      <c r="D243" s="6">
        <v>5</v>
      </c>
      <c r="F243" s="6"/>
      <c r="G243" s="6">
        <v>3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6"/>
      <c r="AC243" s="5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11">
        <f t="shared" si="8"/>
        <v>8</v>
      </c>
      <c r="AW243" s="38" t="s">
        <v>7</v>
      </c>
      <c r="AX243" s="6"/>
    </row>
    <row r="244" spans="1:52" s="4" customFormat="1" x14ac:dyDescent="0.2">
      <c r="A244" s="3" t="s">
        <v>192</v>
      </c>
      <c r="B244" s="4" t="s">
        <v>202</v>
      </c>
      <c r="C244" s="4" t="s">
        <v>261</v>
      </c>
      <c r="D244" s="6">
        <v>5</v>
      </c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6"/>
      <c r="AC244" s="5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11">
        <f t="shared" si="8"/>
        <v>5</v>
      </c>
      <c r="AW244" s="38" t="s">
        <v>7</v>
      </c>
      <c r="AX244" s="6"/>
    </row>
    <row r="245" spans="1:52" s="4" customFormat="1" ht="12" customHeight="1" x14ac:dyDescent="0.2">
      <c r="A245" s="3" t="s">
        <v>194</v>
      </c>
      <c r="B245" s="4" t="s">
        <v>202</v>
      </c>
      <c r="C245" s="4" t="s">
        <v>262</v>
      </c>
      <c r="D245" s="6">
        <v>5</v>
      </c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6"/>
      <c r="AC245" s="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>
        <v>4</v>
      </c>
      <c r="AU245" s="6"/>
      <c r="AV245" s="11">
        <f t="shared" si="8"/>
        <v>9</v>
      </c>
      <c r="AW245" s="38" t="s">
        <v>7</v>
      </c>
      <c r="AX245" s="6"/>
    </row>
    <row r="246" spans="1:52" s="4" customFormat="1" x14ac:dyDescent="0.2">
      <c r="A246" s="3" t="s">
        <v>195</v>
      </c>
      <c r="B246" s="4" t="s">
        <v>202</v>
      </c>
      <c r="C246" s="4" t="s">
        <v>263</v>
      </c>
      <c r="D246" s="6">
        <v>5</v>
      </c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6"/>
      <c r="AC246" s="5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>
        <v>4</v>
      </c>
      <c r="AU246" s="6"/>
      <c r="AV246" s="11">
        <f t="shared" si="8"/>
        <v>9</v>
      </c>
      <c r="AW246" s="38" t="s">
        <v>7</v>
      </c>
      <c r="AX246" s="6"/>
    </row>
    <row r="247" spans="1:52" s="4" customFormat="1" x14ac:dyDescent="0.2">
      <c r="A247" s="3" t="s">
        <v>198</v>
      </c>
      <c r="B247" s="4" t="s">
        <v>264</v>
      </c>
      <c r="D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6"/>
      <c r="AC247" s="5"/>
      <c r="AD247" s="6"/>
      <c r="AE247" s="6"/>
      <c r="AF247" s="6"/>
      <c r="AG247" s="6">
        <v>50</v>
      </c>
      <c r="AH247" s="6">
        <v>50</v>
      </c>
      <c r="AI247" s="6">
        <v>20</v>
      </c>
      <c r="AJ247" s="6">
        <v>20</v>
      </c>
      <c r="AK247" s="6"/>
      <c r="AL247" s="6"/>
      <c r="AM247" s="6"/>
      <c r="AN247" s="6"/>
      <c r="AO247" s="6"/>
      <c r="AP247" s="6"/>
      <c r="AQ247" s="6">
        <v>10</v>
      </c>
      <c r="AR247" s="6"/>
      <c r="AS247" s="6"/>
      <c r="AT247" s="6"/>
      <c r="AU247" s="6"/>
      <c r="AV247" s="11">
        <f t="shared" si="8"/>
        <v>150</v>
      </c>
      <c r="AW247" s="38" t="s">
        <v>7</v>
      </c>
      <c r="AX247" s="6"/>
      <c r="AZ247" s="2"/>
    </row>
    <row r="248" spans="1:52" s="4" customFormat="1" ht="12" customHeight="1" x14ac:dyDescent="0.2">
      <c r="A248" s="3" t="s">
        <v>200</v>
      </c>
      <c r="B248" s="4" t="s">
        <v>265</v>
      </c>
      <c r="C248" s="4" t="s">
        <v>18</v>
      </c>
      <c r="D248" s="6"/>
      <c r="F248" s="6">
        <v>3</v>
      </c>
      <c r="G248" s="6"/>
      <c r="H248" s="6"/>
      <c r="I248" s="6">
        <v>2</v>
      </c>
      <c r="J248" s="6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6"/>
      <c r="AC248" s="5"/>
      <c r="AD248" s="6"/>
      <c r="AE248" s="6"/>
      <c r="AF248" s="6"/>
      <c r="AG248" s="6"/>
      <c r="AH248" s="6"/>
      <c r="AI248" s="6"/>
      <c r="AJ248" s="6"/>
      <c r="AK248" s="6"/>
      <c r="AL248" s="6">
        <v>1</v>
      </c>
      <c r="AM248" s="6"/>
      <c r="AN248" s="6"/>
      <c r="AO248" s="6"/>
      <c r="AP248" s="6"/>
      <c r="AQ248" s="6"/>
      <c r="AR248" s="6"/>
      <c r="AS248" s="6"/>
      <c r="AT248" s="6"/>
      <c r="AU248" s="6"/>
      <c r="AV248" s="11">
        <f t="shared" si="8"/>
        <v>6</v>
      </c>
      <c r="AW248" s="38" t="s">
        <v>7</v>
      </c>
      <c r="AX248" s="6"/>
    </row>
    <row r="249" spans="1:52" s="4" customFormat="1" x14ac:dyDescent="0.2">
      <c r="A249" s="3" t="s">
        <v>205</v>
      </c>
      <c r="B249" s="4" t="s">
        <v>265</v>
      </c>
      <c r="C249" s="4" t="s">
        <v>266</v>
      </c>
      <c r="D249" s="6"/>
      <c r="F249" s="6"/>
      <c r="G249" s="6"/>
      <c r="H249" s="6"/>
      <c r="I249" s="6">
        <v>2</v>
      </c>
      <c r="J249" s="6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6"/>
      <c r="AC249" s="5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11">
        <f t="shared" si="8"/>
        <v>2</v>
      </c>
      <c r="AW249" s="38" t="s">
        <v>7</v>
      </c>
      <c r="AX249" s="6"/>
    </row>
    <row r="250" spans="1:52" s="2" customFormat="1" x14ac:dyDescent="0.2">
      <c r="A250" s="3" t="s">
        <v>207</v>
      </c>
      <c r="B250" s="4" t="s">
        <v>265</v>
      </c>
      <c r="C250" s="4" t="s">
        <v>267</v>
      </c>
      <c r="D250" s="6">
        <v>5</v>
      </c>
      <c r="F250" s="6">
        <v>2</v>
      </c>
      <c r="G250" s="6"/>
      <c r="H250" s="6"/>
      <c r="I250" s="6">
        <v>2</v>
      </c>
      <c r="J250" s="6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6"/>
      <c r="AC250" s="5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>
        <v>2</v>
      </c>
      <c r="AU250" s="6"/>
      <c r="AV250" s="11">
        <f t="shared" si="8"/>
        <v>11</v>
      </c>
      <c r="AW250" s="38" t="s">
        <v>7</v>
      </c>
      <c r="AX250" s="11"/>
    </row>
    <row r="251" spans="1:52" s="2" customFormat="1" x14ac:dyDescent="0.2">
      <c r="A251" s="3" t="s">
        <v>210</v>
      </c>
      <c r="B251" s="4" t="s">
        <v>265</v>
      </c>
      <c r="C251" s="4" t="s">
        <v>268</v>
      </c>
      <c r="D251" s="6"/>
      <c r="F251" s="6"/>
      <c r="G251" s="6"/>
      <c r="H251" s="6"/>
      <c r="I251" s="6">
        <v>2</v>
      </c>
      <c r="J251" s="6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6"/>
      <c r="AC251" s="5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11">
        <f t="shared" si="8"/>
        <v>2</v>
      </c>
      <c r="AW251" s="38" t="s">
        <v>7</v>
      </c>
      <c r="AX251" s="11"/>
    </row>
    <row r="252" spans="1:52" s="2" customFormat="1" x14ac:dyDescent="0.2">
      <c r="A252" s="3" t="s">
        <v>213</v>
      </c>
      <c r="B252" s="4" t="s">
        <v>265</v>
      </c>
      <c r="C252" s="4" t="s">
        <v>269</v>
      </c>
      <c r="D252" s="6">
        <v>5</v>
      </c>
      <c r="F252" s="6"/>
      <c r="G252" s="6"/>
      <c r="H252" s="6"/>
      <c r="I252" s="6">
        <v>2</v>
      </c>
      <c r="J252" s="6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6"/>
      <c r="AC252" s="5"/>
      <c r="AD252" s="6"/>
      <c r="AE252" s="6"/>
      <c r="AF252" s="6"/>
      <c r="AG252" s="6"/>
      <c r="AH252" s="6"/>
      <c r="AI252" s="6"/>
      <c r="AJ252" s="6"/>
      <c r="AK252" s="6"/>
      <c r="AL252" s="6"/>
      <c r="AM252" s="6">
        <v>1</v>
      </c>
      <c r="AN252" s="6"/>
      <c r="AO252" s="6"/>
      <c r="AP252" s="6"/>
      <c r="AQ252" s="6"/>
      <c r="AR252" s="6"/>
      <c r="AS252" s="6"/>
      <c r="AT252" s="6">
        <v>2</v>
      </c>
      <c r="AU252" s="6"/>
      <c r="AV252" s="11">
        <f t="shared" si="8"/>
        <v>10</v>
      </c>
      <c r="AW252" s="38" t="s">
        <v>7</v>
      </c>
      <c r="AX252" s="11"/>
    </row>
    <row r="253" spans="1:52" s="2" customFormat="1" x14ac:dyDescent="0.2">
      <c r="A253" s="3" t="s">
        <v>216</v>
      </c>
      <c r="B253" s="4" t="s">
        <v>270</v>
      </c>
      <c r="C253" s="4" t="str">
        <f>"100X100 MM"</f>
        <v>100X100 MM</v>
      </c>
      <c r="D253" s="6">
        <v>10</v>
      </c>
      <c r="F253" s="6">
        <v>10</v>
      </c>
      <c r="G253" s="6">
        <v>3</v>
      </c>
      <c r="H253" s="6"/>
      <c r="I253" s="6">
        <v>2</v>
      </c>
      <c r="J253" s="6"/>
      <c r="K253" s="6"/>
      <c r="L253" s="6"/>
      <c r="M253" s="6"/>
      <c r="N253" s="6">
        <v>1</v>
      </c>
      <c r="O253" s="6"/>
      <c r="P253" s="6"/>
      <c r="Q253" s="6"/>
      <c r="R253" s="6">
        <v>2</v>
      </c>
      <c r="S253" s="7"/>
      <c r="T253" s="6"/>
      <c r="U253" s="6"/>
      <c r="V253" s="6"/>
      <c r="W253" s="6"/>
      <c r="X253" s="6"/>
      <c r="Y253" s="6"/>
      <c r="Z253" s="6"/>
      <c r="AA253" s="6"/>
      <c r="AB253" s="6"/>
      <c r="AC253" s="5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>
        <v>2</v>
      </c>
      <c r="AO253" s="6"/>
      <c r="AP253" s="6"/>
      <c r="AQ253" s="6"/>
      <c r="AR253" s="6"/>
      <c r="AS253" s="6">
        <v>1</v>
      </c>
      <c r="AT253" s="6">
        <v>2</v>
      </c>
      <c r="AU253" s="6"/>
      <c r="AV253" s="11">
        <f t="shared" si="8"/>
        <v>33</v>
      </c>
      <c r="AW253" s="38" t="s">
        <v>7</v>
      </c>
      <c r="AX253" s="11"/>
    </row>
    <row r="254" spans="1:52" s="2" customFormat="1" x14ac:dyDescent="0.2">
      <c r="A254" s="3" t="s">
        <v>217</v>
      </c>
      <c r="B254" s="4" t="s">
        <v>236</v>
      </c>
      <c r="C254" s="4" t="str">
        <f>"050X040 MM"</f>
        <v>050X040 MM</v>
      </c>
      <c r="D254" s="6"/>
      <c r="F254" s="6"/>
      <c r="G254" s="6"/>
      <c r="H254" s="6"/>
      <c r="I254" s="6">
        <v>5</v>
      </c>
      <c r="J254" s="6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6"/>
      <c r="AC254" s="5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>
        <v>3</v>
      </c>
      <c r="AO254" s="6"/>
      <c r="AP254" s="6"/>
      <c r="AQ254" s="6"/>
      <c r="AR254" s="6"/>
      <c r="AS254" s="6"/>
      <c r="AT254" s="6"/>
      <c r="AU254" s="6"/>
      <c r="AV254" s="11">
        <f t="shared" si="8"/>
        <v>8</v>
      </c>
      <c r="AW254" s="38" t="s">
        <v>7</v>
      </c>
      <c r="AX254" s="11"/>
    </row>
    <row r="255" spans="1:52" s="4" customFormat="1" x14ac:dyDescent="0.2">
      <c r="A255" s="3" t="s">
        <v>219</v>
      </c>
      <c r="B255" s="4" t="s">
        <v>236</v>
      </c>
      <c r="C255" s="4" t="str">
        <f>"075X075 MM"</f>
        <v>075X075 MM</v>
      </c>
      <c r="D255" s="6"/>
      <c r="F255" s="6"/>
      <c r="G255" s="6">
        <v>5</v>
      </c>
      <c r="H255" s="6"/>
      <c r="I255" s="6">
        <v>1</v>
      </c>
      <c r="J255" s="6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6"/>
      <c r="AC255" s="5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>
        <v>3</v>
      </c>
      <c r="AO255" s="6"/>
      <c r="AP255" s="6"/>
      <c r="AQ255" s="6"/>
      <c r="AR255" s="6"/>
      <c r="AS255" s="6"/>
      <c r="AT255" s="6"/>
      <c r="AU255" s="6"/>
      <c r="AV255" s="11">
        <f t="shared" si="8"/>
        <v>9</v>
      </c>
      <c r="AW255" s="38" t="s">
        <v>7</v>
      </c>
      <c r="AX255" s="6"/>
    </row>
    <row r="256" spans="1:52" s="4" customFormat="1" x14ac:dyDescent="0.2">
      <c r="A256" s="3" t="s">
        <v>223</v>
      </c>
      <c r="B256" s="4" t="s">
        <v>238</v>
      </c>
      <c r="C256" s="4" t="s">
        <v>271</v>
      </c>
      <c r="D256" s="6"/>
      <c r="F256" s="6"/>
      <c r="G256" s="6"/>
      <c r="H256" s="6"/>
      <c r="I256" s="6">
        <v>1</v>
      </c>
      <c r="J256" s="6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6"/>
      <c r="AC256" s="5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11">
        <f t="shared" si="8"/>
        <v>1</v>
      </c>
      <c r="AW256" s="38" t="s">
        <v>7</v>
      </c>
      <c r="AX256" s="6"/>
    </row>
    <row r="257" spans="1:100" s="2" customFormat="1" x14ac:dyDescent="0.2">
      <c r="A257" s="3" t="s">
        <v>226</v>
      </c>
      <c r="B257" s="2" t="s">
        <v>272</v>
      </c>
      <c r="D257" s="6">
        <v>3</v>
      </c>
      <c r="F257" s="6">
        <v>1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6"/>
      <c r="AC257" s="5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11">
        <f t="shared" si="8"/>
        <v>4</v>
      </c>
      <c r="AW257" s="38" t="s">
        <v>21</v>
      </c>
      <c r="AX257" s="11"/>
    </row>
    <row r="258" spans="1:100" s="2" customFormat="1" x14ac:dyDescent="0.2">
      <c r="A258" s="3" t="s">
        <v>228</v>
      </c>
      <c r="B258" s="4" t="s">
        <v>273</v>
      </c>
      <c r="C258" s="4" t="s">
        <v>274</v>
      </c>
      <c r="D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6"/>
      <c r="AC258" s="5"/>
      <c r="AD258" s="6"/>
      <c r="AE258" s="6"/>
      <c r="AF258" s="6"/>
      <c r="AG258" s="4"/>
      <c r="AH258" s="4"/>
      <c r="AI258" s="6"/>
      <c r="AJ258" s="6"/>
      <c r="AK258" s="6"/>
      <c r="AL258" s="6">
        <v>1</v>
      </c>
      <c r="AM258" s="6">
        <v>1</v>
      </c>
      <c r="AN258" s="6"/>
      <c r="AO258" s="6"/>
      <c r="AP258" s="6"/>
      <c r="AQ258" s="6"/>
      <c r="AR258" s="6"/>
      <c r="AS258" s="6"/>
      <c r="AT258" s="6"/>
      <c r="AU258" s="6"/>
      <c r="AV258" s="11">
        <f t="shared" si="8"/>
        <v>2</v>
      </c>
      <c r="AW258" s="38" t="s">
        <v>21</v>
      </c>
      <c r="AX258" s="11"/>
    </row>
    <row r="259" spans="1:100" s="4" customFormat="1" x14ac:dyDescent="0.2">
      <c r="A259" s="3" t="s">
        <v>230</v>
      </c>
      <c r="B259" s="4" t="s">
        <v>275</v>
      </c>
      <c r="C259" s="4" t="s">
        <v>276</v>
      </c>
      <c r="D259" s="6"/>
      <c r="F259" s="6"/>
      <c r="G259" s="6"/>
      <c r="H259" s="6"/>
      <c r="I259" s="6"/>
      <c r="J259" s="6"/>
      <c r="K259" s="6"/>
      <c r="L259" s="6"/>
      <c r="M259" s="6"/>
      <c r="N259" s="6"/>
      <c r="O259" s="6">
        <v>1</v>
      </c>
      <c r="P259" s="6"/>
      <c r="Q259" s="6"/>
      <c r="R259" s="6">
        <v>1</v>
      </c>
      <c r="S259" s="7"/>
      <c r="T259" s="6"/>
      <c r="U259" s="6"/>
      <c r="V259" s="6"/>
      <c r="W259" s="6"/>
      <c r="X259" s="6"/>
      <c r="Y259" s="6"/>
      <c r="Z259" s="6"/>
      <c r="AA259" s="6"/>
      <c r="AB259" s="6"/>
      <c r="AC259" s="5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>
        <v>1</v>
      </c>
      <c r="AO259" s="6"/>
      <c r="AP259" s="6"/>
      <c r="AQ259" s="6"/>
      <c r="AR259" s="6"/>
      <c r="AS259" s="6"/>
      <c r="AT259" s="6"/>
      <c r="AU259" s="6"/>
      <c r="AV259" s="11">
        <f t="shared" si="8"/>
        <v>3</v>
      </c>
      <c r="AW259" s="38" t="s">
        <v>7</v>
      </c>
      <c r="AX259" s="6"/>
    </row>
    <row r="260" spans="1:100" s="4" customFormat="1" x14ac:dyDescent="0.2">
      <c r="A260" s="3" t="s">
        <v>233</v>
      </c>
      <c r="B260" s="4" t="s">
        <v>247</v>
      </c>
      <c r="C260" s="4" t="s">
        <v>277</v>
      </c>
      <c r="D260" s="6">
        <v>5</v>
      </c>
      <c r="F260" s="6"/>
      <c r="G260" s="6"/>
      <c r="H260" s="6"/>
      <c r="I260" s="6"/>
      <c r="J260" s="6"/>
      <c r="K260" s="6">
        <v>1</v>
      </c>
      <c r="L260" s="6"/>
      <c r="M260" s="6"/>
      <c r="N260" s="6"/>
      <c r="O260" s="6"/>
      <c r="P260" s="6"/>
      <c r="Q260" s="6"/>
      <c r="R260" s="6">
        <v>2</v>
      </c>
      <c r="S260" s="7"/>
      <c r="T260" s="6"/>
      <c r="U260" s="6"/>
      <c r="V260" s="6"/>
      <c r="W260" s="6"/>
      <c r="X260" s="6"/>
      <c r="Y260" s="6"/>
      <c r="Z260" s="6"/>
      <c r="AA260" s="6"/>
      <c r="AB260" s="6"/>
      <c r="AC260" s="5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>
        <v>1</v>
      </c>
      <c r="AO260" s="6"/>
      <c r="AP260" s="6"/>
      <c r="AQ260" s="6"/>
      <c r="AR260" s="6"/>
      <c r="AS260" s="6"/>
      <c r="AT260" s="6"/>
      <c r="AU260" s="6"/>
      <c r="AV260" s="11">
        <f t="shared" si="8"/>
        <v>9</v>
      </c>
      <c r="AW260" s="38" t="s">
        <v>7</v>
      </c>
      <c r="AX260" s="6"/>
    </row>
    <row r="261" spans="1:100" s="4" customFormat="1" x14ac:dyDescent="0.2">
      <c r="A261" s="3" t="s">
        <v>234</v>
      </c>
      <c r="B261" s="4" t="s">
        <v>247</v>
      </c>
      <c r="C261" s="4" t="s">
        <v>278</v>
      </c>
      <c r="D261" s="6">
        <v>5</v>
      </c>
      <c r="F261" s="6">
        <v>20</v>
      </c>
      <c r="G261" s="6"/>
      <c r="H261" s="6"/>
      <c r="I261" s="6"/>
      <c r="J261" s="6"/>
      <c r="K261" s="6">
        <v>1</v>
      </c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>
        <v>1</v>
      </c>
      <c r="AO261" s="6"/>
      <c r="AP261" s="6"/>
      <c r="AQ261" s="6"/>
      <c r="AR261" s="6"/>
      <c r="AS261" s="6"/>
      <c r="AT261" s="6">
        <v>1</v>
      </c>
      <c r="AU261" s="6"/>
      <c r="AV261" s="11">
        <f t="shared" si="8"/>
        <v>28</v>
      </c>
      <c r="AW261" s="38" t="s">
        <v>7</v>
      </c>
      <c r="AX261" s="6"/>
    </row>
    <row r="262" spans="1:100" x14ac:dyDescent="0.2">
      <c r="A262" s="3" t="s">
        <v>237</v>
      </c>
      <c r="B262" s="4" t="s">
        <v>279</v>
      </c>
      <c r="C262" s="4" t="s">
        <v>280</v>
      </c>
      <c r="D262" s="6">
        <v>2</v>
      </c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6"/>
      <c r="AC262" s="8"/>
      <c r="AD262" s="6"/>
      <c r="AE262" s="8"/>
      <c r="AF262" s="6"/>
      <c r="AG262" s="6"/>
      <c r="AH262" s="6"/>
      <c r="AI262" s="6"/>
      <c r="AJ262" s="6"/>
      <c r="AK262" s="6"/>
      <c r="AL262" s="6"/>
      <c r="AM262" s="6"/>
      <c r="AN262" s="6"/>
      <c r="AO262" s="9"/>
      <c r="AP262" s="9"/>
      <c r="AQ262" s="6"/>
      <c r="AR262" s="6"/>
      <c r="AS262" s="6"/>
      <c r="AT262" s="6"/>
      <c r="AU262" s="6"/>
      <c r="AV262" s="11">
        <f t="shared" si="8"/>
        <v>2</v>
      </c>
      <c r="AW262" s="38" t="s">
        <v>21</v>
      </c>
      <c r="AX262" s="11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</row>
    <row r="263" spans="1:100" x14ac:dyDescent="0.2">
      <c r="A263" s="3" t="s">
        <v>240</v>
      </c>
      <c r="B263" s="2" t="s">
        <v>281</v>
      </c>
      <c r="C263" s="2" t="s">
        <v>182</v>
      </c>
      <c r="D263" s="6">
        <v>30</v>
      </c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6"/>
      <c r="AC263" s="8"/>
      <c r="AD263" s="6"/>
      <c r="AE263" s="8"/>
      <c r="AF263" s="6"/>
      <c r="AG263" s="6"/>
      <c r="AH263" s="6"/>
      <c r="AI263" s="6"/>
      <c r="AJ263" s="6"/>
      <c r="AK263" s="6"/>
      <c r="AL263" s="6"/>
      <c r="AM263" s="6"/>
      <c r="AN263" s="6"/>
      <c r="AO263" s="9"/>
      <c r="AP263" s="9"/>
      <c r="AQ263" s="6"/>
      <c r="AR263" s="6"/>
      <c r="AS263" s="6"/>
      <c r="AT263" s="6"/>
      <c r="AU263" s="6"/>
      <c r="AV263" s="11">
        <f t="shared" si="8"/>
        <v>30</v>
      </c>
      <c r="AW263" s="38" t="s">
        <v>21</v>
      </c>
      <c r="AX263" s="11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</row>
    <row r="264" spans="1:100" x14ac:dyDescent="0.2">
      <c r="A264" s="3" t="s">
        <v>242</v>
      </c>
      <c r="B264" s="1" t="s">
        <v>282</v>
      </c>
      <c r="C264" s="1" t="s">
        <v>283</v>
      </c>
      <c r="D264" s="11">
        <v>2</v>
      </c>
      <c r="F264" s="11">
        <v>10</v>
      </c>
      <c r="AC264" s="24"/>
      <c r="AE264" s="11"/>
      <c r="AL264" s="11">
        <v>1</v>
      </c>
      <c r="AN264" s="11"/>
      <c r="AO264" s="11"/>
      <c r="AP264" s="11"/>
      <c r="AV264" s="11">
        <f t="shared" si="8"/>
        <v>13</v>
      </c>
      <c r="AW264" s="38" t="s">
        <v>21</v>
      </c>
    </row>
    <row r="265" spans="1:100" x14ac:dyDescent="0.2">
      <c r="A265" s="3" t="s">
        <v>243</v>
      </c>
      <c r="B265" s="2" t="s">
        <v>284</v>
      </c>
      <c r="C265" s="2" t="s">
        <v>134</v>
      </c>
      <c r="AC265" s="14"/>
      <c r="AD265" s="11"/>
      <c r="AF265" s="11"/>
      <c r="AG265" s="11">
        <v>2</v>
      </c>
      <c r="AH265" s="11">
        <v>2</v>
      </c>
      <c r="AI265" s="11">
        <v>2</v>
      </c>
      <c r="AJ265" s="11">
        <v>2</v>
      </c>
      <c r="AO265" s="11"/>
      <c r="AP265" s="11"/>
      <c r="AQ265" s="11">
        <v>2</v>
      </c>
      <c r="AR265" s="11">
        <v>2</v>
      </c>
      <c r="AV265" s="11">
        <f t="shared" si="8"/>
        <v>12</v>
      </c>
      <c r="AW265" s="38" t="s">
        <v>7</v>
      </c>
      <c r="AX265" s="11"/>
      <c r="AY265" s="2"/>
      <c r="AZ265" s="2"/>
      <c r="BA265" s="2"/>
    </row>
    <row r="266" spans="1:100" x14ac:dyDescent="0.2">
      <c r="A266" s="3" t="s">
        <v>249</v>
      </c>
      <c r="B266" s="2" t="s">
        <v>285</v>
      </c>
      <c r="C266" s="2"/>
      <c r="AC266" s="14"/>
      <c r="AD266" s="11"/>
      <c r="AF266" s="11"/>
      <c r="AH266" s="11"/>
      <c r="AI266" s="11">
        <v>50</v>
      </c>
      <c r="AV266" s="11">
        <f t="shared" si="8"/>
        <v>50</v>
      </c>
      <c r="AW266" s="38" t="s">
        <v>72</v>
      </c>
      <c r="AX266" s="11"/>
      <c r="AY266" s="2"/>
      <c r="AZ266" s="2"/>
      <c r="BA266" s="2"/>
    </row>
    <row r="267" spans="1:100" x14ac:dyDescent="0.2">
      <c r="A267" s="25" t="s">
        <v>251</v>
      </c>
      <c r="B267" s="2" t="s">
        <v>286</v>
      </c>
      <c r="C267" s="2" t="s">
        <v>287</v>
      </c>
      <c r="AC267" s="14"/>
      <c r="AD267" s="11"/>
      <c r="AF267" s="11"/>
      <c r="AH267" s="11"/>
      <c r="AM267" s="11">
        <v>1</v>
      </c>
      <c r="AV267" s="11">
        <f t="shared" si="8"/>
        <v>1</v>
      </c>
      <c r="AW267" s="38" t="s">
        <v>7</v>
      </c>
      <c r="AX267" s="11"/>
      <c r="AY267" s="2"/>
      <c r="AZ267" s="2"/>
      <c r="BA267" s="2"/>
    </row>
    <row r="268" spans="1:100" ht="12" thickBot="1" x14ac:dyDescent="0.25">
      <c r="A268" s="25" t="s">
        <v>254</v>
      </c>
      <c r="B268" s="2" t="s">
        <v>288</v>
      </c>
      <c r="C268" s="2" t="s">
        <v>289</v>
      </c>
      <c r="AC268" s="14"/>
      <c r="AD268" s="11"/>
      <c r="AF268" s="11"/>
      <c r="AH268" s="11"/>
      <c r="AQ268" s="11">
        <v>2</v>
      </c>
      <c r="AR268" s="11">
        <v>2</v>
      </c>
      <c r="AV268" s="11">
        <f t="shared" si="8"/>
        <v>4</v>
      </c>
      <c r="AW268" s="38" t="s">
        <v>7</v>
      </c>
      <c r="AX268" s="11"/>
      <c r="AY268" s="48"/>
      <c r="AZ268" s="2"/>
      <c r="BA268" s="2"/>
    </row>
    <row r="269" spans="1:100" ht="13.5" thickBot="1" x14ac:dyDescent="0.25">
      <c r="A269" s="45" t="s">
        <v>299</v>
      </c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50"/>
      <c r="AZ269" s="47"/>
      <c r="BA269" s="2"/>
    </row>
    <row r="270" spans="1:100" hidden="1" x14ac:dyDescent="0.2">
      <c r="A270" s="25"/>
      <c r="B270" s="2"/>
      <c r="C270" s="2"/>
      <c r="AC270" s="14"/>
      <c r="AD270" s="11"/>
      <c r="AF270" s="11"/>
      <c r="AH270" s="11"/>
      <c r="AX270" s="11"/>
      <c r="AY270" s="49"/>
      <c r="AZ270" s="2"/>
      <c r="BA270" s="2"/>
    </row>
    <row r="271" spans="1:100" hidden="1" x14ac:dyDescent="0.2">
      <c r="A271" s="25"/>
      <c r="B271" s="2"/>
      <c r="C271" s="2"/>
      <c r="AC271" s="14"/>
      <c r="AD271" s="11"/>
      <c r="AF271" s="11"/>
      <c r="AH271" s="11"/>
      <c r="AX271" s="11"/>
      <c r="AY271" s="2"/>
      <c r="AZ271" s="2"/>
      <c r="BA271" s="2"/>
    </row>
    <row r="272" spans="1:100" hidden="1" x14ac:dyDescent="0.2">
      <c r="A272" s="25"/>
      <c r="B272" s="2"/>
      <c r="C272" s="2"/>
      <c r="AC272" s="14"/>
      <c r="AD272" s="11"/>
      <c r="AF272" s="11"/>
      <c r="AH272" s="11"/>
      <c r="AX272" s="11"/>
      <c r="AY272" s="2"/>
      <c r="AZ272" s="2"/>
      <c r="BA272" s="2"/>
    </row>
    <row r="273" spans="1:53" hidden="1" x14ac:dyDescent="0.2">
      <c r="A273" s="25"/>
      <c r="B273" s="2"/>
      <c r="C273" s="2"/>
      <c r="AC273" s="14"/>
      <c r="AD273" s="11"/>
      <c r="AF273" s="11"/>
      <c r="AH273" s="11"/>
      <c r="AX273" s="11"/>
      <c r="AY273" s="2"/>
      <c r="AZ273" s="2"/>
      <c r="BA273" s="2"/>
    </row>
    <row r="274" spans="1:53" hidden="1" x14ac:dyDescent="0.2">
      <c r="A274" s="25"/>
      <c r="B274" s="2"/>
      <c r="C274" s="2"/>
      <c r="AC274" s="14"/>
      <c r="AD274" s="11"/>
      <c r="AF274" s="11"/>
      <c r="AH274" s="11"/>
      <c r="AX274" s="11"/>
      <c r="AY274" s="2"/>
      <c r="AZ274" s="2"/>
      <c r="BA274" s="2"/>
    </row>
    <row r="275" spans="1:53" hidden="1" x14ac:dyDescent="0.2">
      <c r="A275" s="25"/>
      <c r="B275" s="2"/>
      <c r="C275" s="2"/>
      <c r="AC275" s="14"/>
      <c r="AD275" s="11"/>
      <c r="AF275" s="11"/>
      <c r="AH275" s="11"/>
      <c r="AX275" s="11"/>
      <c r="AY275" s="2"/>
      <c r="AZ275" s="2"/>
      <c r="BA275" s="2"/>
    </row>
    <row r="276" spans="1:53" hidden="1" x14ac:dyDescent="0.2">
      <c r="A276" s="25"/>
      <c r="B276" s="2"/>
      <c r="C276" s="2"/>
      <c r="AC276" s="14"/>
      <c r="AD276" s="11"/>
      <c r="AF276" s="11"/>
      <c r="AH276" s="11"/>
      <c r="AX276" s="11"/>
      <c r="AY276" s="2"/>
      <c r="AZ276" s="2"/>
      <c r="BA276" s="2"/>
    </row>
    <row r="277" spans="1:53" hidden="1" x14ac:dyDescent="0.2">
      <c r="A277" s="25"/>
      <c r="B277" s="2"/>
      <c r="C277" s="2"/>
      <c r="AC277" s="14"/>
      <c r="AD277" s="11"/>
      <c r="AF277" s="11"/>
      <c r="AH277" s="11"/>
      <c r="AX277" s="11"/>
      <c r="AY277" s="2"/>
      <c r="AZ277" s="2"/>
      <c r="BA277" s="2"/>
    </row>
    <row r="278" spans="1:53" hidden="1" x14ac:dyDescent="0.2">
      <c r="A278" s="25"/>
      <c r="B278" s="2"/>
      <c r="C278" s="2"/>
      <c r="AC278" s="14"/>
      <c r="AD278" s="11"/>
      <c r="AF278" s="11"/>
      <c r="AH278" s="11"/>
      <c r="AX278" s="11"/>
      <c r="AY278" s="2"/>
      <c r="AZ278" s="2"/>
      <c r="BA278" s="2"/>
    </row>
    <row r="279" spans="1:53" hidden="1" x14ac:dyDescent="0.2">
      <c r="A279" s="25"/>
      <c r="B279" s="2"/>
      <c r="C279" s="2"/>
      <c r="AC279" s="14"/>
      <c r="AD279" s="11"/>
      <c r="AF279" s="11"/>
      <c r="AH279" s="11"/>
      <c r="AX279" s="11"/>
      <c r="AY279" s="2"/>
      <c r="AZ279" s="2"/>
      <c r="BA279" s="2"/>
    </row>
    <row r="280" spans="1:53" hidden="1" x14ac:dyDescent="0.2">
      <c r="AC280" s="14"/>
      <c r="AD280" s="11"/>
      <c r="AF280" s="11"/>
      <c r="AH280" s="11"/>
      <c r="AX280" s="11"/>
      <c r="AY280" s="2"/>
      <c r="AZ280" s="2"/>
      <c r="BA280" s="2"/>
    </row>
    <row r="281" spans="1:53" hidden="1" x14ac:dyDescent="0.2">
      <c r="AC281" s="14"/>
      <c r="AD281" s="11"/>
      <c r="AF281" s="11"/>
      <c r="AH281" s="11"/>
      <c r="AX281" s="11"/>
      <c r="AY281" s="2"/>
      <c r="AZ281" s="2"/>
      <c r="BA281" s="2"/>
    </row>
    <row r="282" spans="1:53" hidden="1" x14ac:dyDescent="0.2">
      <c r="AC282" s="14"/>
      <c r="AD282" s="11"/>
      <c r="AF282" s="11"/>
      <c r="AH282" s="11"/>
      <c r="AX282" s="11"/>
      <c r="AY282" s="2"/>
      <c r="AZ282" s="2"/>
      <c r="BA282" s="2"/>
    </row>
    <row r="283" spans="1:53" hidden="1" x14ac:dyDescent="0.2">
      <c r="AC283" s="14"/>
      <c r="AD283" s="11"/>
      <c r="AF283" s="11"/>
      <c r="AH283" s="11"/>
      <c r="AX283" s="11"/>
      <c r="AY283" s="2"/>
      <c r="AZ283" s="2"/>
      <c r="BA283" s="2"/>
    </row>
    <row r="284" spans="1:53" hidden="1" x14ac:dyDescent="0.2">
      <c r="AC284" s="14"/>
      <c r="AD284" s="11"/>
      <c r="AF284" s="11"/>
      <c r="AH284" s="11"/>
      <c r="AX284" s="11"/>
      <c r="AY284" s="2"/>
      <c r="AZ284" s="2"/>
      <c r="BA284" s="2"/>
    </row>
    <row r="285" spans="1:53" hidden="1" x14ac:dyDescent="0.2">
      <c r="AC285" s="14"/>
      <c r="AD285" s="11"/>
      <c r="AF285" s="11"/>
      <c r="AH285" s="11"/>
      <c r="AX285" s="11"/>
      <c r="AY285" s="2"/>
      <c r="AZ285" s="2"/>
      <c r="BA285" s="2"/>
    </row>
    <row r="286" spans="1:53" hidden="1" x14ac:dyDescent="0.2">
      <c r="AC286" s="14"/>
      <c r="AD286" s="11"/>
      <c r="AF286" s="11"/>
      <c r="AH286" s="11"/>
      <c r="AX286" s="11"/>
      <c r="AY286" s="2"/>
      <c r="AZ286" s="2"/>
      <c r="BA286" s="2"/>
    </row>
    <row r="287" spans="1:53" hidden="1" x14ac:dyDescent="0.2">
      <c r="AC287" s="14"/>
      <c r="AD287" s="11"/>
      <c r="AF287" s="11"/>
      <c r="AH287" s="11"/>
      <c r="AX287" s="11"/>
      <c r="AY287" s="2"/>
      <c r="AZ287" s="2"/>
      <c r="BA287" s="2"/>
    </row>
    <row r="288" spans="1:53" hidden="1" x14ac:dyDescent="0.2">
      <c r="AC288" s="14"/>
      <c r="AD288" s="11"/>
      <c r="AF288" s="11"/>
      <c r="AH288" s="11"/>
      <c r="AX288" s="11"/>
      <c r="AY288" s="2"/>
      <c r="AZ288" s="2"/>
      <c r="BA288" s="2"/>
    </row>
    <row r="289" spans="29:53" hidden="1" x14ac:dyDescent="0.2">
      <c r="AC289" s="14"/>
      <c r="AD289" s="11"/>
      <c r="AF289" s="11"/>
      <c r="AH289" s="11"/>
      <c r="AX289" s="11"/>
      <c r="AY289" s="2"/>
      <c r="AZ289" s="2"/>
      <c r="BA289" s="2"/>
    </row>
    <row r="290" spans="29:53" hidden="1" x14ac:dyDescent="0.2">
      <c r="AC290" s="14"/>
      <c r="AD290" s="11"/>
      <c r="AF290" s="11"/>
      <c r="AH290" s="11"/>
      <c r="AX290" s="11"/>
      <c r="AY290" s="2"/>
      <c r="AZ290" s="2"/>
      <c r="BA290" s="2"/>
    </row>
    <row r="291" spans="29:53" hidden="1" x14ac:dyDescent="0.2">
      <c r="AC291" s="14"/>
      <c r="AD291" s="11"/>
      <c r="AF291" s="11"/>
      <c r="AH291" s="11"/>
      <c r="AX291" s="11"/>
      <c r="AY291" s="2"/>
      <c r="AZ291" s="2"/>
      <c r="BA291" s="2"/>
    </row>
    <row r="292" spans="29:53" hidden="1" x14ac:dyDescent="0.2">
      <c r="AC292" s="14"/>
      <c r="AD292" s="11"/>
      <c r="AF292" s="11"/>
      <c r="AH292" s="11"/>
      <c r="AX292" s="11"/>
      <c r="AY292" s="2"/>
      <c r="AZ292" s="2"/>
      <c r="BA292" s="2"/>
    </row>
    <row r="293" spans="29:53" hidden="1" x14ac:dyDescent="0.2">
      <c r="AC293" s="14"/>
      <c r="AD293" s="11"/>
      <c r="AF293" s="11"/>
      <c r="AH293" s="11"/>
      <c r="AX293" s="11"/>
      <c r="AY293" s="2"/>
      <c r="AZ293" s="2"/>
      <c r="BA293" s="2"/>
    </row>
    <row r="294" spans="29:53" hidden="1" x14ac:dyDescent="0.2">
      <c r="AC294" s="14"/>
      <c r="AD294" s="11"/>
      <c r="AF294" s="11"/>
      <c r="AH294" s="11"/>
      <c r="AX294" s="11"/>
      <c r="AY294" s="2"/>
      <c r="AZ294" s="2"/>
      <c r="BA294" s="2"/>
    </row>
    <row r="295" spans="29:53" hidden="1" x14ac:dyDescent="0.2">
      <c r="AC295" s="14"/>
      <c r="AD295" s="11"/>
      <c r="AF295" s="11"/>
      <c r="AH295" s="11"/>
      <c r="AX295" s="11"/>
      <c r="AY295" s="2"/>
      <c r="AZ295" s="2"/>
      <c r="BA295" s="2"/>
    </row>
    <row r="296" spans="29:53" hidden="1" x14ac:dyDescent="0.2">
      <c r="AC296" s="14"/>
      <c r="AD296" s="11"/>
      <c r="AF296" s="11"/>
      <c r="AH296" s="11"/>
      <c r="AX296" s="11"/>
      <c r="AY296" s="2"/>
      <c r="AZ296" s="2"/>
      <c r="BA296" s="2"/>
    </row>
    <row r="297" spans="29:53" hidden="1" x14ac:dyDescent="0.2">
      <c r="AC297" s="14"/>
      <c r="AD297" s="11"/>
      <c r="AF297" s="11"/>
      <c r="AH297" s="11"/>
      <c r="AX297" s="11"/>
      <c r="AY297" s="2"/>
      <c r="AZ297" s="2"/>
      <c r="BA297" s="2"/>
    </row>
    <row r="298" spans="29:53" hidden="1" x14ac:dyDescent="0.2">
      <c r="AC298" s="14"/>
      <c r="AD298" s="11"/>
      <c r="AF298" s="11"/>
      <c r="AH298" s="11"/>
      <c r="AX298" s="11"/>
      <c r="AY298" s="2"/>
      <c r="AZ298" s="2"/>
      <c r="BA298" s="2"/>
    </row>
    <row r="299" spans="29:53" hidden="1" x14ac:dyDescent="0.2">
      <c r="AC299" s="14"/>
      <c r="AD299" s="11"/>
      <c r="AF299" s="11"/>
      <c r="AH299" s="11"/>
      <c r="AX299" s="11"/>
      <c r="AY299" s="2"/>
      <c r="AZ299" s="2"/>
      <c r="BA299" s="2"/>
    </row>
    <row r="300" spans="29:53" hidden="1" x14ac:dyDescent="0.2">
      <c r="AC300" s="14"/>
      <c r="AD300" s="11"/>
      <c r="AF300" s="11"/>
      <c r="AH300" s="11"/>
      <c r="AX300" s="11"/>
      <c r="AY300" s="2"/>
      <c r="AZ300" s="2"/>
      <c r="BA300" s="2"/>
    </row>
    <row r="301" spans="29:53" hidden="1" x14ac:dyDescent="0.2">
      <c r="AC301" s="14"/>
      <c r="AD301" s="11"/>
      <c r="AF301" s="11"/>
      <c r="AH301" s="11"/>
      <c r="AX301" s="11"/>
      <c r="AY301" s="2"/>
      <c r="AZ301" s="2"/>
      <c r="BA301" s="2"/>
    </row>
    <row r="302" spans="29:53" hidden="1" x14ac:dyDescent="0.2">
      <c r="AC302" s="14"/>
      <c r="AD302" s="11"/>
      <c r="AF302" s="11"/>
      <c r="AH302" s="11"/>
      <c r="AX302" s="11"/>
      <c r="AY302" s="2"/>
      <c r="AZ302" s="2"/>
      <c r="BA302" s="2"/>
    </row>
    <row r="303" spans="29:53" hidden="1" x14ac:dyDescent="0.2">
      <c r="AC303" s="14"/>
      <c r="AD303" s="11"/>
      <c r="AF303" s="11"/>
      <c r="AH303" s="11"/>
      <c r="AX303" s="11"/>
      <c r="AY303" s="2"/>
      <c r="AZ303" s="2"/>
      <c r="BA303" s="2"/>
    </row>
    <row r="304" spans="29:53" hidden="1" x14ac:dyDescent="0.2">
      <c r="AC304" s="14"/>
      <c r="AD304" s="11"/>
      <c r="AF304" s="11"/>
      <c r="AH304" s="11"/>
      <c r="AX304" s="11"/>
      <c r="AY304" s="2"/>
      <c r="AZ304" s="2"/>
      <c r="BA304" s="2"/>
    </row>
    <row r="305" spans="29:53" hidden="1" x14ac:dyDescent="0.2">
      <c r="AC305" s="14"/>
      <c r="AD305" s="11"/>
      <c r="AF305" s="11"/>
      <c r="AH305" s="11"/>
      <c r="AX305" s="11"/>
      <c r="AY305" s="2"/>
      <c r="AZ305" s="2"/>
      <c r="BA305" s="2"/>
    </row>
    <row r="306" spans="29:53" hidden="1" x14ac:dyDescent="0.2">
      <c r="AC306" s="14"/>
      <c r="AD306" s="11"/>
      <c r="AF306" s="11"/>
      <c r="AH306" s="11"/>
      <c r="AX306" s="11"/>
      <c r="AY306" s="2"/>
      <c r="AZ306" s="2"/>
      <c r="BA306" s="2"/>
    </row>
    <row r="307" spans="29:53" hidden="1" x14ac:dyDescent="0.2">
      <c r="AC307" s="14"/>
      <c r="AD307" s="11"/>
      <c r="AF307" s="11"/>
      <c r="AH307" s="11"/>
      <c r="AX307" s="11"/>
      <c r="AY307" s="2"/>
      <c r="AZ307" s="2"/>
      <c r="BA307" s="2"/>
    </row>
    <row r="308" spans="29:53" hidden="1" x14ac:dyDescent="0.2">
      <c r="AC308" s="14"/>
      <c r="AD308" s="11"/>
      <c r="AF308" s="11"/>
      <c r="AH308" s="11"/>
      <c r="AX308" s="11"/>
      <c r="AY308" s="2"/>
      <c r="AZ308" s="2"/>
      <c r="BA308" s="2"/>
    </row>
    <row r="309" spans="29:53" hidden="1" x14ac:dyDescent="0.2">
      <c r="AC309" s="14"/>
      <c r="AD309" s="11"/>
      <c r="AF309" s="11"/>
      <c r="AH309" s="11"/>
      <c r="AX309" s="11"/>
      <c r="AY309" s="2"/>
      <c r="AZ309" s="2"/>
      <c r="BA309" s="2"/>
    </row>
    <row r="310" spans="29:53" hidden="1" x14ac:dyDescent="0.2">
      <c r="AC310" s="14"/>
      <c r="AD310" s="11"/>
      <c r="AF310" s="11"/>
      <c r="AH310" s="11"/>
      <c r="AX310" s="11"/>
      <c r="AY310" s="2"/>
      <c r="AZ310" s="2"/>
      <c r="BA310" s="2"/>
    </row>
    <row r="311" spans="29:53" hidden="1" x14ac:dyDescent="0.2">
      <c r="AC311" s="14"/>
      <c r="AD311" s="11"/>
      <c r="AF311" s="11"/>
      <c r="AH311" s="11"/>
      <c r="AX311" s="11"/>
      <c r="AY311" s="2"/>
      <c r="AZ311" s="2"/>
      <c r="BA311" s="2"/>
    </row>
    <row r="312" spans="29:53" hidden="1" x14ac:dyDescent="0.2">
      <c r="AC312" s="14"/>
      <c r="AD312" s="11"/>
      <c r="AF312" s="11"/>
      <c r="AH312" s="11"/>
      <c r="AX312" s="11"/>
      <c r="AY312" s="2"/>
      <c r="AZ312" s="2"/>
      <c r="BA312" s="2"/>
    </row>
    <row r="313" spans="29:53" hidden="1" x14ac:dyDescent="0.2">
      <c r="AC313" s="14"/>
      <c r="AD313" s="11"/>
      <c r="AF313" s="11"/>
      <c r="AH313" s="11"/>
      <c r="AX313" s="11"/>
      <c r="AY313" s="2"/>
      <c r="AZ313" s="2"/>
      <c r="BA313" s="2"/>
    </row>
    <row r="314" spans="29:53" hidden="1" x14ac:dyDescent="0.2">
      <c r="AC314" s="14"/>
      <c r="AD314" s="11"/>
      <c r="AF314" s="11"/>
      <c r="AH314" s="11"/>
      <c r="AX314" s="11"/>
      <c r="AY314" s="2"/>
      <c r="AZ314" s="2"/>
      <c r="BA314" s="2"/>
    </row>
    <row r="315" spans="29:53" hidden="1" x14ac:dyDescent="0.2">
      <c r="AC315" s="14"/>
      <c r="AD315" s="11"/>
      <c r="AF315" s="11"/>
      <c r="AH315" s="11"/>
      <c r="AX315" s="11"/>
      <c r="AY315" s="2"/>
      <c r="AZ315" s="2"/>
      <c r="BA315" s="2"/>
    </row>
    <row r="316" spans="29:53" hidden="1" x14ac:dyDescent="0.2">
      <c r="AC316" s="14"/>
      <c r="AD316" s="11"/>
      <c r="AF316" s="11"/>
      <c r="AH316" s="11"/>
      <c r="AX316" s="11"/>
      <c r="AY316" s="2"/>
      <c r="AZ316" s="2"/>
      <c r="BA316" s="2"/>
    </row>
    <row r="317" spans="29:53" hidden="1" x14ac:dyDescent="0.2">
      <c r="AC317" s="14"/>
      <c r="AD317" s="11"/>
      <c r="AF317" s="11"/>
      <c r="AH317" s="11"/>
      <c r="AX317" s="11"/>
      <c r="AY317" s="2"/>
      <c r="AZ317" s="2"/>
      <c r="BA317" s="2"/>
    </row>
    <row r="318" spans="29:53" hidden="1" x14ac:dyDescent="0.2">
      <c r="AC318" s="14"/>
      <c r="AD318" s="11"/>
      <c r="AF318" s="11"/>
      <c r="AH318" s="11"/>
      <c r="AX318" s="11"/>
      <c r="AY318" s="2"/>
      <c r="AZ318" s="2"/>
      <c r="BA318" s="2"/>
    </row>
    <row r="319" spans="29:53" hidden="1" x14ac:dyDescent="0.2">
      <c r="AC319" s="14"/>
      <c r="AD319" s="11"/>
      <c r="AF319" s="11"/>
      <c r="AH319" s="11"/>
      <c r="AX319" s="11"/>
      <c r="AY319" s="2"/>
      <c r="AZ319" s="2"/>
      <c r="BA319" s="2"/>
    </row>
    <row r="320" spans="29:53" hidden="1" x14ac:dyDescent="0.2">
      <c r="AC320" s="14"/>
      <c r="AD320" s="11"/>
      <c r="AF320" s="11"/>
      <c r="AH320" s="11"/>
      <c r="AX320" s="11"/>
      <c r="AY320" s="2"/>
      <c r="AZ320" s="2"/>
      <c r="BA320" s="2"/>
    </row>
    <row r="321" spans="29:53" hidden="1" x14ac:dyDescent="0.2">
      <c r="AC321" s="14"/>
      <c r="AD321" s="11"/>
      <c r="AF321" s="11"/>
      <c r="AH321" s="11"/>
      <c r="AX321" s="11"/>
      <c r="AY321" s="2"/>
      <c r="AZ321" s="2"/>
      <c r="BA321" s="2"/>
    </row>
    <row r="322" spans="29:53" hidden="1" x14ac:dyDescent="0.2">
      <c r="AC322" s="14"/>
      <c r="AD322" s="11"/>
      <c r="AF322" s="11"/>
      <c r="AH322" s="11"/>
      <c r="AX322" s="11"/>
      <c r="AY322" s="2"/>
      <c r="AZ322" s="2"/>
      <c r="BA322" s="2"/>
    </row>
    <row r="323" spans="29:53" hidden="1" x14ac:dyDescent="0.2">
      <c r="AC323" s="14"/>
      <c r="AD323" s="11"/>
      <c r="AF323" s="11"/>
      <c r="AH323" s="11"/>
      <c r="AX323" s="11"/>
      <c r="AY323" s="2"/>
      <c r="AZ323" s="2"/>
      <c r="BA323" s="2"/>
    </row>
    <row r="324" spans="29:53" hidden="1" x14ac:dyDescent="0.2">
      <c r="AC324" s="14"/>
      <c r="AD324" s="11"/>
      <c r="AF324" s="11"/>
      <c r="AH324" s="11"/>
      <c r="AX324" s="11"/>
      <c r="AY324" s="2"/>
      <c r="AZ324" s="2"/>
      <c r="BA324" s="2"/>
    </row>
    <row r="325" spans="29:53" hidden="1" x14ac:dyDescent="0.2">
      <c r="AC325" s="14"/>
      <c r="AD325" s="11"/>
      <c r="AF325" s="11"/>
      <c r="AH325" s="11"/>
      <c r="AX325" s="11"/>
      <c r="AY325" s="2"/>
      <c r="AZ325" s="2"/>
      <c r="BA325" s="2"/>
    </row>
    <row r="326" spans="29:53" hidden="1" x14ac:dyDescent="0.2">
      <c r="AC326" s="14"/>
      <c r="AD326" s="11"/>
      <c r="AF326" s="11"/>
      <c r="AH326" s="11"/>
      <c r="AX326" s="11"/>
      <c r="AY326" s="2"/>
      <c r="AZ326" s="2"/>
      <c r="BA326" s="2"/>
    </row>
    <row r="327" spans="29:53" hidden="1" x14ac:dyDescent="0.2">
      <c r="AC327" s="14"/>
      <c r="AD327" s="11"/>
      <c r="AF327" s="11"/>
      <c r="AH327" s="11"/>
      <c r="AX327" s="11"/>
      <c r="AY327" s="2"/>
      <c r="AZ327" s="2"/>
      <c r="BA327" s="2"/>
    </row>
    <row r="328" spans="29:53" hidden="1" x14ac:dyDescent="0.2">
      <c r="AC328" s="14"/>
      <c r="AD328" s="11"/>
      <c r="AF328" s="11"/>
      <c r="AH328" s="11"/>
      <c r="AX328" s="11"/>
      <c r="AY328" s="2"/>
      <c r="AZ328" s="2"/>
      <c r="BA328" s="2"/>
    </row>
    <row r="329" spans="29:53" hidden="1" x14ac:dyDescent="0.2">
      <c r="AC329" s="14"/>
      <c r="AD329" s="11"/>
      <c r="AF329" s="11"/>
      <c r="AH329" s="11"/>
      <c r="AX329" s="11"/>
      <c r="AY329" s="2"/>
      <c r="AZ329" s="2"/>
      <c r="BA329" s="2"/>
    </row>
    <row r="330" spans="29:53" hidden="1" x14ac:dyDescent="0.2">
      <c r="AC330" s="14"/>
      <c r="AD330" s="11"/>
      <c r="AF330" s="11"/>
      <c r="AH330" s="11"/>
      <c r="AX330" s="11"/>
      <c r="AY330" s="2"/>
      <c r="AZ330" s="2"/>
      <c r="BA330" s="2"/>
    </row>
    <row r="331" spans="29:53" hidden="1" x14ac:dyDescent="0.2">
      <c r="AC331" s="14"/>
      <c r="AD331" s="11"/>
      <c r="AF331" s="11"/>
      <c r="AH331" s="11"/>
      <c r="AX331" s="11"/>
      <c r="AY331" s="2"/>
      <c r="AZ331" s="2"/>
      <c r="BA331" s="2"/>
    </row>
    <row r="332" spans="29:53" hidden="1" x14ac:dyDescent="0.2">
      <c r="AC332" s="14"/>
      <c r="AD332" s="11"/>
      <c r="AF332" s="11"/>
      <c r="AH332" s="11"/>
      <c r="AX332" s="11"/>
      <c r="AY332" s="2"/>
      <c r="AZ332" s="2"/>
      <c r="BA332" s="2"/>
    </row>
    <row r="333" spans="29:53" hidden="1" x14ac:dyDescent="0.2"/>
    <row r="334" spans="29:53" hidden="1" x14ac:dyDescent="0.2"/>
    <row r="335" spans="29:53" hidden="1" x14ac:dyDescent="0.2"/>
    <row r="336" spans="29:53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</sheetData>
  <mergeCells count="4">
    <mergeCell ref="AV3:AW3"/>
    <mergeCell ref="A2:AY2"/>
    <mergeCell ref="A1:AY1"/>
    <mergeCell ref="A269:AX269"/>
  </mergeCells>
  <pageMargins left="0.75" right="0.75" top="1" bottom="1" header="0.5" footer="0.5"/>
  <pageSetup paperSize="9" orientation="landscape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írószer</vt:lpstr>
    </vt:vector>
  </TitlesOfParts>
  <Company>Multi Informatikai Kft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Marosi György</dc:creator>
  <cp:lastModifiedBy>Gazdag László</cp:lastModifiedBy>
  <cp:lastPrinted>2018-10-29T06:37:51Z</cp:lastPrinted>
  <dcterms:created xsi:type="dcterms:W3CDTF">1999-04-28T20:01:57Z</dcterms:created>
  <dcterms:modified xsi:type="dcterms:W3CDTF">2018-10-29T06:45:58Z</dcterms:modified>
</cp:coreProperties>
</file>